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4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HT- Année 1" sheetId="1" state="visible" r:id="rId3"/>
    <sheet name="Hypothèses &amp; sources" sheetId="2" state="visible" r:id="rId4"/>
    <sheet name="Saisie RCA" sheetId="3" state="visible" r:id="rId5"/>
    <sheet name="RCA Financement" sheetId="4" state="visible" r:id="rId6"/>
    <sheet name="RCA Charges" sheetId="5" state="visible" r:id="rId7"/>
    <sheet name="RCA Personnel" sheetId="6" state="visible" r:id="rId8"/>
    <sheet name="RCA Impôts-TVA-Divers" sheetId="7" state="visible" r:id="rId9"/>
    <sheet name="Contrôle faisabilité" sheetId="8" state="visible" r:id="rId10"/>
  </sheets>
  <definedNames>
    <definedName function="false" hidden="false" localSheetId="0" name="_xlnm.Print_Area" vbProcedure="false">'CAHT- Année 1'!$D$5:$AB$20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<sst xmlns="http://schemas.openxmlformats.org/spreadsheetml/2006/main" count="671" uniqueCount="436">
  <si>
    <t xml:space="preserve">Analyse du chiffre d'affaires prévisionnel</t>
  </si>
  <si>
    <t xml:space="preserve">L'Atelier des Saveurs (SASU Pierre Durand) — reprise fonds « Le Boudoir », Nantes centre — ouverture : 01/06/2026 (dossier RCA : 06/2026 → 05/2029) — montants TTC convertis HT à 10 % (mix TVA 10/20 % : onglet Saisie RCA)</t>
  </si>
  <si>
    <t xml:space="preserve">Année N</t>
  </si>
  <si>
    <t xml:space="preserve">Nombre de jours ouverture (Midi)</t>
  </si>
  <si>
    <t xml:space="preserve">Restauration midi</t>
  </si>
  <si>
    <t xml:space="preserve">Nombre de jours ouverture (soir)</t>
  </si>
  <si>
    <t xml:space="preserve">Restauration soir</t>
  </si>
  <si>
    <t xml:space="preserve">Terrasse (20 places, mars-sept.)</t>
  </si>
  <si>
    <t xml:space="preserve">Après-midi « À se partager » (jeu-sam, mai-sept.)</t>
  </si>
  <si>
    <t xml:space="preserve">Total CAHT / Mois</t>
  </si>
  <si>
    <t xml:space="preserve">Taux de remplissage</t>
  </si>
  <si>
    <t xml:space="preserve">Saisonnalité </t>
  </si>
  <si>
    <t xml:space="preserve">Nbre repas / jour</t>
  </si>
  <si>
    <t xml:space="preserve">Ticket moyen TTC</t>
  </si>
  <si>
    <t xml:space="preserve">CATTC / Jour</t>
  </si>
  <si>
    <t xml:space="preserve">CATTC / Mois</t>
  </si>
  <si>
    <t xml:space="preserve">CAHT / mois</t>
  </si>
  <si>
    <t xml:space="preserve">Jours AM (jeu-sam)</t>
  </si>
  <si>
    <t xml:space="preserve">Taux remplissage (terrasse)</t>
  </si>
  <si>
    <t xml:space="preserve">Midi</t>
  </si>
  <si>
    <t xml:space="preserve">Soir</t>
  </si>
  <si>
    <t xml:space="preserve">Terrasse</t>
  </si>
  <si>
    <t xml:space="preserve">Année 2</t>
  </si>
  <si>
    <t xml:space="preserve">Année 3</t>
  </si>
  <si>
    <t xml:space="preserve">Total</t>
  </si>
  <si>
    <t xml:space="preserve">Année N+1</t>
  </si>
  <si>
    <t xml:space="preserve">Année N+2</t>
  </si>
  <si>
    <t xml:space="preserve">PRÉVISIONNEL CA — L'ATELIER DES SAVEURS — HYPOTHÈSES &amp; SOURCES</t>
  </si>
  <si>
    <t xml:space="preserve">Reprise du fonds de commerce « Le Boudoir » (Nantes centre, zone piétonne) par Pierre Durand (SASU). Ouverture : 1er juin 2026, alignée sur le dossier RCA créé (06/2026 → 05/2029). Exercices de 12 mois clos au 31 mai.</t>
  </si>
  <si>
    <t xml:space="preserve">CAPACITÉ &amp; OUVERTURE</t>
  </si>
  <si>
    <t xml:space="preserve">Couverts en salle</t>
  </si>
  <si>
    <t xml:space="preserve">40</t>
  </si>
  <si>
    <t xml:space="preserve">Prise de note 1er rdv 14/02/2024 (« Surface : 40 couverts »)</t>
  </si>
  <si>
    <t xml:space="preserve">Places en terrasse (mars à sept., autorisation municipale)</t>
  </si>
  <si>
    <t xml:space="preserve">20</t>
  </si>
  <si>
    <t xml:space="preserve">Prise de note 1er rdv (« 20 places en terrasse ») ; redevance terrasse à prévoir (Analyse sectorielle p. 55)</t>
  </si>
  <si>
    <t xml:space="preserve">Jours d'ouverture</t>
  </si>
  <si>
    <t xml:space="preserve">mardi soir → dimanche midi</t>
  </si>
  <si>
    <t xml:space="preserve">Prise de note 1er rdv : 5 services midi (mer-dim) + 5 services soir (mar-sam)</t>
  </si>
  <si>
    <t xml:space="preserve">Fermetures annuelles</t>
  </si>
  <si>
    <t xml:space="preserve">2 sem. août + Noël + 1 sem. fév. + 1er mai</t>
  </si>
  <si>
    <t xml:space="preserve">Pratique de place ; ≈ 48 semaines d'exploitation (239 j midi / 238 j soir en année 1, calendrier réel)</t>
  </si>
  <si>
    <t xml:space="preserve">TICKETS MOYENS TTC</t>
  </si>
  <si>
    <t xml:space="preserve">Année 1</t>
  </si>
  <si>
    <t xml:space="preserve">Midi (menu semainier 22 € + boisson/café)</t>
  </si>
  <si>
    <t xml:space="preserve">26,00 €</t>
  </si>
  <si>
    <t xml:space="preserve">26,50 €</t>
  </si>
  <si>
    <t xml:space="preserve">27,00 €</t>
  </si>
  <si>
    <t xml:space="preserve">Menu E/P ou P/D à 22 € (rdv 14/02) + boissons ; progression volontairement &lt; inflation (présentation ADS : « augmenter le ticket moyen au fil des années »)</t>
  </si>
  <si>
    <t xml:space="preserve">Soir (carte)</t>
  </si>
  <si>
    <t xml:space="preserve">52,00 €</t>
  </si>
  <si>
    <t xml:space="preserve">53,00 €</t>
  </si>
  <si>
    <t xml:space="preserve">54,00 €</t>
  </si>
  <si>
    <t xml:space="preserve">Carte client : entrées 12-16 € (moy. 13,8), plats 19-38 € (moy. 26,3), desserts 9-12 € (moy. 11) ; mix 2-3 plats + boissons ≈ 30 % du ticket</t>
  </si>
  <si>
    <t xml:space="preserve">Terrasse (offre midi)</t>
  </si>
  <si>
    <t xml:space="preserve">Égal au ticket midi</t>
  </si>
  <si>
    <t xml:space="preserve">Après-midi « À se partager » / mezze</t>
  </si>
  <si>
    <t xml:space="preserve">16,00 €</t>
  </si>
  <si>
    <t xml:space="preserve">16,50 €</t>
  </si>
  <si>
    <t xml:space="preserve">17,00 €</t>
  </si>
  <si>
    <t xml:space="preserve">Carte : à se partager 7-11 € + rafraîchissements ; jeu-ven-sam après-midi, mai-sept. (présentation ADS)</t>
  </si>
  <si>
    <t xml:space="preserve">REMPLISSAGE (sur 40 couverts salle / 20 terrasse)</t>
  </si>
  <si>
    <t xml:space="preserve">Midi — taux moyen</t>
  </si>
  <si>
    <t xml:space="preserve">≈ 59 % (ramp-up 50→65 %)</t>
  </si>
  <si>
    <t xml:space="preserve">65 %</t>
  </si>
  <si>
    <t xml:space="preserve">70 %</t>
  </si>
  <si>
    <t xml:space="preserve">Taux années 2-3 = matrice Baker Tilly (table AE5:AH8) ; année 1 en dessous avec montée en charge mensuelle</t>
  </si>
  <si>
    <t xml:space="preserve">Soir — taux moyen</t>
  </si>
  <si>
    <t xml:space="preserve">≈ 48 % (ramp-up 40→60 %)</t>
  </si>
  <si>
    <t xml:space="preserve">55 %</t>
  </si>
  <si>
    <t xml:space="preserve">60 %</t>
  </si>
  <si>
    <t xml:space="preserve">Idem ; décembre renforcé (soirées festives prévues — présentation ADS)</t>
  </si>
  <si>
    <t xml:space="preserve">Terrasse — taux moyen saison</t>
  </si>
  <si>
    <t xml:space="preserve">≈ 51 % (40-65 % selon mois)</t>
  </si>
  <si>
    <t xml:space="preserve">Saisonnalité mensuelle de la matrice BT (col. AD) ; moyenne calée sur la table années 2-3</t>
  </si>
  <si>
    <t xml:space="preserve">Rotation par place et par jour (contrôle)</t>
  </si>
  <si>
    <t xml:space="preserve">0,67 midi+soir</t>
  </si>
  <si>
    <t xml:space="preserve">0,73</t>
  </si>
  <si>
    <t xml:space="preserve">0,79</t>
  </si>
  <si>
    <t xml:space="preserve">Borne sectorielle : 0,8 à 3 couverts/place/jour (Analyse sectorielle OEC 2022, p. 47) → hypothèses prudentes</t>
  </si>
  <si>
    <t xml:space="preserve">RÉSULTAT (CA HT, TVA 10 % uniforme — convention matrice)</t>
  </si>
  <si>
    <t xml:space="preserve">CA HT prévisionnel</t>
  </si>
  <si>
    <t xml:space="preserve">≈ 388 k€</t>
  </si>
  <si>
    <t xml:space="preserve">≈ 444 k€</t>
  </si>
  <si>
    <t xml:space="preserve">≈ 490 k€</t>
  </si>
  <si>
    <t xml:space="preserve">Feuille CAHT ; vs cédant 292 554 € HT (comptes clos 30/11/2022) : +33 % / +52 % / +67 %</t>
  </si>
  <si>
    <t xml:space="preserve">Justification de l'écart vs cédant</t>
  </si>
  <si>
    <t xml:space="preserve">Le volume reste prudent (24 cv/service midi en année 1 sur 40) : l'écart vient du repositionnement prix (bistronomie, chef ex-Robuchon, RP + soft opening) — le cédant tournait à ≈ 17 cv/service et ≈ 20 € de ticket</t>
  </si>
  <si>
    <t xml:space="preserve">Référence sectorielle</t>
  </si>
  <si>
    <t xml:space="preserve">CA moyen sociétés resto. traditionnelle : 430 k€ ; tranche 400-700 k€ : 536 k€ (Diane, Analyse sectorielle p. 39) → année 3 dans la norme</t>
  </si>
  <si>
    <t xml:space="preserve">POINTS DE VIGILANCE (à traiter dans le prévisionnel complet)</t>
  </si>
  <si>
    <t xml:space="preserve">TVA</t>
  </si>
  <si>
    <t xml:space="preserve">La matrice convertit tout le TTC à 10 % ; le mix réel ≈ 85 % à 10 % / 15 % alcools à 20 % (cédant : 81/19, comptes 70750000/70760000) → ventilation correcte dans l'onglet Saisie RCA (CA HT réel ≈ -1,2 %)</t>
  </si>
  <si>
    <t xml:space="preserve">Licence</t>
  </si>
  <si>
    <t xml:space="preserve">Pas de licence IV (rdv 14/02) → petite licence restaurant (vins/bières pendant les repas) obtenable sans limitation (Analyse sectorielle p. 8) ; cocktails « voir concurrence » sur la carte → mix alcool conservé à 15 %</t>
  </si>
  <si>
    <t xml:space="preserve">Upside non chiffré</t>
  </si>
  <si>
    <t xml:space="preserve">B2B / événementiel / privatisations (présentation ADS) volontairement exclus du CA = marge de sécurité</t>
  </si>
  <si>
    <t xml:space="preserve">Saisonnalité RCA</t>
  </si>
  <si>
    <t xml:space="preserve">Courbes mensuelles en % (total 100) prêtes dans l'onglet Saisie RCA — RCA Prévision Flash accepte le collage de 12 valeurs mensuelles (MO-RCA p. 11, 34)</t>
  </si>
  <si>
    <t xml:space="preserve">SAISIE RCA — PRÉVISION FLASH (Suite RCA)</t>
  </si>
  <si>
    <t xml:space="preserve">RÔLE : moteur de calcul — la saisie dans le logiciel se fait depuis « RCA Saisie - Atelier des Saveurs.xlsx » (onglet 3-Activité), qui reprend ces montants au format exact des grilles v10.2. Ce tableau reste la justification de la ventilation 10 %/20 % et de la saisonnalité.</t>
  </si>
  <si>
    <t xml:space="preserve">[1] Hypothèse de ventilation du CA TTC par taux de TVA (modifiable)</t>
  </si>
  <si>
    <t xml:space="preserve">Part à 10 % (nourriture, softs)</t>
  </si>
  <si>
    <t xml:space="preserve">Cédant 2022 : 81 % (cpte 70750000)</t>
  </si>
  <si>
    <t xml:space="preserve">Part à 20 % (boissons alcoolisées)</t>
  </si>
  <si>
    <t xml:space="preserve">Cédant 2022 : 19 % (cpte 70760000) ; pas de licence IV → 15 % retenu</t>
  </si>
  <si>
    <t xml:space="preserve">[2] Lignes d'activité (onglet ACTIVITÉ — une ligne par taux de TVA)</t>
  </si>
  <si>
    <t xml:space="preserve">Libellé</t>
  </si>
  <si>
    <t xml:space="preserve">Secteur</t>
  </si>
  <si>
    <t xml:space="preserve">CA HT N</t>
  </si>
  <si>
    <t xml:space="preserve">CA HT N+1</t>
  </si>
  <si>
    <t xml:space="preserve">CA HT N+2</t>
  </si>
  <si>
    <t xml:space="preserve">Évol. N+1</t>
  </si>
  <si>
    <t xml:space="preserve">Évol. N+2</t>
  </si>
  <si>
    <t xml:space="preserve">Marge</t>
  </si>
  <si>
    <t xml:space="preserve">Stock (j)</t>
  </si>
  <si>
    <t xml:space="preserve">Clients (j)</t>
  </si>
  <si>
    <t xml:space="preserve">Fourn. (j)</t>
  </si>
  <si>
    <t xml:space="preserve">TVA ventes</t>
  </si>
  <si>
    <t xml:space="preserve">TVA achats</t>
  </si>
  <si>
    <t xml:space="preserve">Restauration sur place 10 %</t>
  </si>
  <si>
    <t xml:space="preserve">Négoce</t>
  </si>
  <si>
    <t xml:space="preserve">Boissons alcoolisées 20 %</t>
  </si>
  <si>
    <t xml:space="preserve">Total CA HT (contrôle)</t>
  </si>
  <si>
    <t xml:space="preserve">Marges : cédant 69,8 % global (SIG 2022) ; secteur ≥ 65 % (coût matière ≤ 35 %, Analyse sect. p. 71). Délais : clients 0 j, fournisseurs 30 j, stocks 15 j (modèle BT). TVA achats nourriture : 5,5 %.</t>
  </si>
  <si>
    <t xml:space="preserve">[3] Valeurs mensuelles CA HT par activité (collage direct dans le détail « CA global » de chaque exercice)</t>
  </si>
  <si>
    <t xml:space="preserve">Exercice N (06/2024-05/2025)</t>
  </si>
  <si>
    <t xml:space="preserve">Mois</t>
  </si>
  <si>
    <t xml:space="preserve">Mois 1 (juin)</t>
  </si>
  <si>
    <t xml:space="preserve">Mois 2 (juil.)</t>
  </si>
  <si>
    <t xml:space="preserve">Mois 3 (août)</t>
  </si>
  <si>
    <t xml:space="preserve">Mois 4 (sept.)</t>
  </si>
  <si>
    <t xml:space="preserve">Mois 5 (oct.)</t>
  </si>
  <si>
    <t xml:space="preserve">Mois 6 (nov.)</t>
  </si>
  <si>
    <t xml:space="preserve">Mois 7 (déc.)</t>
  </si>
  <si>
    <t xml:space="preserve">Mois 8 (janv.)</t>
  </si>
  <si>
    <t xml:space="preserve">Mois 9 (fév.)</t>
  </si>
  <si>
    <t xml:space="preserve">Mois 10 (mars)</t>
  </si>
  <si>
    <t xml:space="preserve">Mois 11 (avr.)</t>
  </si>
  <si>
    <t xml:space="preserve">Mois 12 (mai)</t>
  </si>
  <si>
    <t xml:space="preserve">Restauration sur place 10 % (HT)</t>
  </si>
  <si>
    <t xml:space="preserve">Boissons alcoolisées 20 % (HT)</t>
  </si>
  <si>
    <t xml:space="preserve">Saisonnalité (%, total 100)</t>
  </si>
  <si>
    <t xml:space="preserve">Exercice N+1 (06/2025-05/2026)</t>
  </si>
  <si>
    <t xml:space="preserve">Exercice N+2 (06/2026-05/2027)</t>
  </si>
  <si>
    <t xml:space="preserve">Note : les montants mensuels sont en HT, sans espaces (exigence de collage RCA). Le total HT réel (≈ 98,75 % du CAHT de la matrice) est légèrement inférieur car la matrice applique 10 % de TVA à tout le TTC, alors que 15 % du CA est à 20 %. C'est ce total ventilé qui fait foi pour RCA.</t>
  </si>
  <si>
    <t xml:space="preserve">Rappels MO-RCA : ne jamais créer de « nouveau modèle » (p. 4) · choix définitifs : type création / forme juridique / interface Développé (p. 5-6) · cotisations par défaut 22 % sal. / 25 % pat. (p. 6) · le stock initial se saisit dans ACTIVITÉ (ligne « Stock Initial »), jamais en investissement (p. 30) · fonds de commerce 145 000 € + droits d'enregistrement 3 % &gt; 23 k€ (p. 31) · emprunt fonds de commerce : durée indicative 7 ans (p. 32).</t>
  </si>
  <si>
    <t xml:space="preserve">ONGLET RCA « FINANCEMENT » — v2 (synchronisée avec le fichier « RCA Investissements - Atelier des Saveurs.xlsx ») — JUSTIFICATIF (banque/jury). Saisie logiciel : fichier « RCA Saisie », onglet 2-Financement.</t>
  </si>
  <si>
    <t xml:space="preserve">Ligne à créer</t>
  </si>
  <si>
    <t xml:space="preserve">Montant</t>
  </si>
  <si>
    <t xml:space="preserve">Date</t>
  </si>
  <si>
    <t xml:space="preserve">Durée</t>
  </si>
  <si>
    <t xml:space="preserve">Taux</t>
  </si>
  <si>
    <t xml:space="preserve">Différé</t>
  </si>
  <si>
    <t xml:space="preserve">Justification</t>
  </si>
  <si>
    <t xml:space="preserve">Capital social (dont 1 000 € déjà versés en 2023)</t>
  </si>
  <si>
    <t xml:space="preserve">06/2026</t>
  </si>
  <si>
    <t xml:space="preserve">-</t>
  </si>
  <si>
    <t xml:space="preserve">Capital porté à 20 000 € — aligné sur la saisie RCA</t>
  </si>
  <si>
    <t xml:space="preserve">Compte courant : apport en numéraire</t>
  </si>
  <si>
    <t xml:space="preserve">Solde de l'apport 40 k€ (rdv 14/02) ; blocage exigé par la banque probable</t>
  </si>
  <si>
    <t xml:space="preserve">Prêt d'honneur Initiative Nantes</t>
  </si>
  <si>
    <t xml:space="preserve">60 mois</t>
  </si>
  <si>
    <t xml:space="preserve">0%</t>
  </si>
  <si>
    <t xml:space="preserve">6 mois</t>
  </si>
  <si>
    <t xml:space="preserve">Moyenne Initiative France ≈ 10 k€ ; quasi-fonds propres, levier 1 € → 9,5 € de banque (Bpifrance Création). En demander 15-20 k€ sécuriserait le dossier.</t>
  </si>
  <si>
    <t xml:space="preserve">Emprunt A — fonds de commerce &amp; frais</t>
  </si>
  <si>
    <t xml:space="preserve">84 mois</t>
  </si>
  <si>
    <t xml:space="preserve">4,30% + ADI 0,30%</t>
  </si>
  <si>
    <t xml:space="preserve">3 mois</t>
  </si>
  <si>
    <t xml:space="preserve">7 ans = standard fonds (MO p. 32). Taux : hypothèse prudente 06/2026 (réf. BdF T1 2025 : 4,7 %, détente 2025-26) — à coter au dépôt. Quotité globale élevée → point de négociation.</t>
  </si>
  <si>
    <t xml:space="preserve">Emprunt B — travaux &amp; équipements</t>
  </si>
  <si>
    <t xml:space="preserve">120 mois</t>
  </si>
  <si>
    <t xml:space="preserve">4,40% + ADI 0,30%</t>
  </si>
  <si>
    <t xml:space="preserve">Travaux finançables sur 10-15 ans (L'Hôtellerie 2018) : scinder allège l'annuité vs tout sur 7 ans (−2 800 €/an)</t>
  </si>
  <si>
    <t xml:space="preserve">Crédit relais TVA</t>
  </si>
  <si>
    <t xml:space="preserve">remb. M+2/M+3</t>
  </si>
  <si>
    <t xml:space="preserve">court terme</t>
  </si>
  <si>
    <t xml:space="preserve">TVA déductible sur invest. &amp; frais ≈ 16 k€ (montant exact : Contrôle &gt; TVA dans RCA, MO p. 31)</t>
  </si>
  <si>
    <t xml:space="preserve">TOTAL RESSOURCES</t>
  </si>
  <si>
    <t xml:space="preserve">Mensualité Emprunt A (hors ADI)</t>
  </si>
  <si>
    <t xml:space="preserve">≈ 2 564 € (81 échéances après différé capital 3 mois)</t>
  </si>
  <si>
    <t xml:space="preserve">Mensualité Emprunt B (hors ADI)</t>
  </si>
  <si>
    <t xml:space="preserve">≈ 484 €</t>
  </si>
  <si>
    <t xml:space="preserve">Mensualité prêt d'honneur (après différé)</t>
  </si>
  <si>
    <t xml:space="preserve">Annuités bancaires totales (A+B+ADI)</t>
  </si>
  <si>
    <t xml:space="preserve">soit 12 × (2 564 + 484) + 678 ADI — année pleine après différé</t>
  </si>
  <si>
    <t xml:space="preserve">PLAN DE FINANCEMENT INITIAL (contrôle d'équilibre)</t>
  </si>
  <si>
    <t xml:space="preserve">BESOINS</t>
  </si>
  <si>
    <t xml:space="preserve">RESSOURCES</t>
  </si>
  <si>
    <t xml:space="preserve">Immobilisations à l'ouverture</t>
  </si>
  <si>
    <t xml:space="preserve">Apport (capital + compte courant)</t>
  </si>
  <si>
    <t xml:space="preserve">Fichier « RCA Investissements - ADS.xlsx », ligne « dont au plan de financement initial » (hors terrasse 04/2025 et tranche 2 N+2 autofinancées)</t>
  </si>
  <si>
    <t xml:space="preserve">Stock initial (nourriture + cave)</t>
  </si>
  <si>
    <t xml:space="preserve">TVA à préfinancer (invest. &amp; stock)</t>
  </si>
  <si>
    <t xml:space="preserve">Emprunt A — 84 mois</t>
  </si>
  <si>
    <t xml:space="preserve">Trésorerie de démarrage (≈ 2 mois ch. fixes + terrasse 04/25)</t>
  </si>
  <si>
    <t xml:space="preserve">Emprunt B — 120 mois</t>
  </si>
  <si>
    <t xml:space="preserve">TOTAL BESOINS</t>
  </si>
  <si>
    <t xml:space="preserve">Écart (doit être 0)</t>
  </si>
  <si>
    <t xml:space="preserve">(Apport + prêt d'honneur) / total projet</t>
  </si>
  <si>
    <t xml:space="preserve">Usage reprise CHR : 30 % demandés dans + d'1 dossier sur 2 (CrediPro/L'Hôtellerie). À 17 %, le dossier s'appuie sur : prix du fonds à 50 % du CA cédant (borne basse), prêt d'honneur en quasi-fonds propres, EBE couvrant les annuités dès N. Leviers si blocage : PH 15-20 k€, crédit vendeur, crédit-bail cuisine (tableau 3 du fichier invest).</t>
  </si>
  <si>
    <t xml:space="preserve">ONGLET RCA « CHARGES » — par ligne : montant annuel N + % évol. + % fixe + fréquence + délai règlement + TVA (MO p. 37-38) — JUSTIFICATIF calé sur les comptes 2022 du cédant. Saisie logiciel : « RCA Saisie », onglet 4-Charges.</t>
  </si>
  <si>
    <t xml:space="preserve">N (€/an)</t>
  </si>
  <si>
    <t xml:space="preserve">N+1</t>
  </si>
  <si>
    <t xml:space="preserve">N+2</t>
  </si>
  <si>
    <t xml:space="preserve">% fixe</t>
  </si>
  <si>
    <t xml:space="preserve">Fréquence</t>
  </si>
  <si>
    <t xml:space="preserve">Délai règl. (j)</t>
  </si>
  <si>
    <t xml:space="preserve">Base cédant 2022 (€)</t>
  </si>
  <si>
    <t xml:space="preserve">FOURNITURES CONSOMMABLES</t>
  </si>
  <si>
    <t xml:space="preserve">Électricité</t>
  </si>
  <si>
    <t xml:space="preserve">80%</t>
  </si>
  <si>
    <t xml:space="preserve">Mensuelle</t>
  </si>
  <si>
    <t xml:space="preserve">20%</t>
  </si>
  <si>
    <t xml:space="preserve">6 774</t>
  </si>
  <si>
    <t xml:space="preserve">Activité accrue ; cpte 60611000</t>
  </si>
  <si>
    <t xml:space="preserve">Gaz &amp; combustibles</t>
  </si>
  <si>
    <t xml:space="preserve">Bimestrielle</t>
  </si>
  <si>
    <t xml:space="preserve">486</t>
  </si>
  <si>
    <t xml:space="preserve">Cptes 60613000 (486 €) + 60615000 (323 €) cédant, +activité — ligne RCA « Combustibles »</t>
  </si>
  <si>
    <t xml:space="preserve">Eau</t>
  </si>
  <si>
    <t xml:space="preserve">100%</t>
  </si>
  <si>
    <t xml:space="preserve">323</t>
  </si>
  <si>
    <t xml:space="preserve">Non isolée chez le cédant (dans charges locatives) — provision ; ligne RCA « Eau » pré-créée</t>
  </si>
  <si>
    <t xml:space="preserve">Produits d'entretien &amp; consommables jetables</t>
  </si>
  <si>
    <t xml:space="preserve">—</t>
  </si>
  <si>
    <t xml:space="preserve">Variable avec l'activité ; pattern exemple BT</t>
  </si>
  <si>
    <t xml:space="preserve">Petit équipement (renouvellement)</t>
  </si>
  <si>
    <t xml:space="preserve">50%</t>
  </si>
  <si>
    <t xml:space="preserve">Trimestrielle</t>
  </si>
  <si>
    <t xml:space="preserve">5 444</t>
  </si>
  <si>
    <t xml:space="preserve">Réduit : le rééquipement initial est en investissement</t>
  </si>
  <si>
    <t xml:space="preserve">Fournitures administratives</t>
  </si>
  <si>
    <t xml:space="preserve">207</t>
  </si>
  <si>
    <t xml:space="preserve">Cpte 60640000</t>
  </si>
  <si>
    <t xml:space="preserve">Vêtements de travail</t>
  </si>
  <si>
    <t xml:space="preserve">Semestrielle</t>
  </si>
  <si>
    <t xml:space="preserve">Tenues salle/cuisine (standing ADS)</t>
  </si>
  <si>
    <t xml:space="preserve">SERVICES EXTÉRIEURS</t>
  </si>
  <si>
    <t xml:space="preserve">Loyer local commercial</t>
  </si>
  <si>
    <t xml:space="preserve">20%*</t>
  </si>
  <si>
    <t xml:space="preserve">34 834</t>
  </si>
  <si>
    <t xml:space="preserve">Bail repris : 3 200 €/mois (rdv 14/02) ; *TVA selon option bailleur — à vérifier au bail (jaune)</t>
  </si>
  <si>
    <t xml:space="preserve">Location parking</t>
  </si>
  <si>
    <t xml:space="preserve">1 263</t>
  </si>
  <si>
    <t xml:space="preserve">Cpte 61320100 — utile centre-ville ; à confirmer</t>
  </si>
  <si>
    <t xml:space="preserve">Charges locatives &amp; copropriété</t>
  </si>
  <si>
    <t xml:space="preserve">1 417</t>
  </si>
  <si>
    <t xml:space="preserve">Cpte 61400000</t>
  </si>
  <si>
    <t xml:space="preserve">Redevance terrasse (Ville de Nantes)</t>
  </si>
  <si>
    <t xml:space="preserve">Annuelle</t>
  </si>
  <si>
    <t xml:space="preserve">Sans</t>
  </si>
  <si>
    <t xml:space="preserve">20 places, domaine public — précaire et révocable (Analyse sect. p. 55)</t>
  </si>
  <si>
    <t xml:space="preserve">Entretien immobilier &amp; matériel</t>
  </si>
  <si>
    <t xml:space="preserve">979</t>
  </si>
  <si>
    <t xml:space="preserve">Cptes 61520000+61551000</t>
  </si>
  <si>
    <t xml:space="preserve">Maintenance (hotte, froid, extincteurs, caisse)</t>
  </si>
  <si>
    <t xml:space="preserve">1 306</t>
  </si>
  <si>
    <t xml:space="preserve">Contrats obligatoires ; cpte 61560000</t>
  </si>
  <si>
    <t xml:space="preserve">Assurance multirisque + RC pro</t>
  </si>
  <si>
    <t xml:space="preserve">2 423</t>
  </si>
  <si>
    <t xml:space="preserve">Cpte 61600000 (ADI emprunt : dans le financement, pas ici)</t>
  </si>
  <si>
    <t xml:space="preserve">Logiciels &amp; abonnements (caisse, résa en ligne)</t>
  </si>
  <si>
    <t xml:space="preserve">173</t>
  </si>
  <si>
    <t xml:space="preserve">Réservation type Zenchef + caisse SaaS — modernisation vs cédant</t>
  </si>
  <si>
    <t xml:space="preserve">Honoraires comptables</t>
  </si>
  <si>
    <t xml:space="preserve">4 920</t>
  </si>
  <si>
    <t xml:space="preserve">Cpte 62260000</t>
  </si>
  <si>
    <t xml:space="preserve">Honoraires social (paie)</t>
  </si>
  <si>
    <t xml:space="preserve">1 593</t>
  </si>
  <si>
    <t xml:space="preserve">Cpte 62261000</t>
  </si>
  <si>
    <t xml:space="preserve">Honoraires juridiques (récurrent)</t>
  </si>
  <si>
    <t xml:space="preserve">648</t>
  </si>
  <si>
    <t xml:space="preserve">Approbation comptes, juridique annuel</t>
  </si>
  <si>
    <t xml:space="preserve">Publicité, RP, réseaux sociaux (récurrent)</t>
  </si>
  <si>
    <t xml:space="preserve">Présentation ADS : campagnes média + agence RP ; an 1 renforcé (notoriété), hors forfait démarrage immobilisé</t>
  </si>
  <si>
    <t xml:space="preserve">Blanchisserie / location de linge</t>
  </si>
  <si>
    <t xml:space="preserve">30%</t>
  </si>
  <si>
    <t xml:space="preserve">Montée en gamme (nappage, offices) — absent chez le cédant</t>
  </si>
  <si>
    <t xml:space="preserve">Réceptions, déplacements</t>
  </si>
  <si>
    <t xml:space="preserve">2 326</t>
  </si>
  <si>
    <t xml:space="preserve">Réduit vs cédant</t>
  </si>
  <si>
    <t xml:space="preserve">Frais postaux &amp; télécom</t>
  </si>
  <si>
    <t xml:space="preserve">1 613</t>
  </si>
  <si>
    <t xml:space="preserve">Cptes 62600000+62620000</t>
  </si>
  <si>
    <t xml:space="preserve">Services bancaires</t>
  </si>
  <si>
    <t xml:space="preserve">632</t>
  </si>
  <si>
    <t xml:space="preserve">Cpte 62780000</t>
  </si>
  <si>
    <t xml:space="preserve">Commissions cartes bancaires (≈ 0,7 % CA TTC)</t>
  </si>
  <si>
    <t xml:space="preserve">1 245</t>
  </si>
  <si>
    <t xml:space="preserve">RCA : charge automatique en % du CA TTC (MO p. 38) — saisir 0,7 %</t>
  </si>
  <si>
    <t xml:space="preserve">Commissions titres-restaurant</t>
  </si>
  <si>
    <t xml:space="preserve">746</t>
  </si>
  <si>
    <t xml:space="preserve">Clientèle bureau le midi (menu 22 € ≈ plafond TR)</t>
  </si>
  <si>
    <t xml:space="preserve">SACEM / SPRÉ</t>
  </si>
  <si>
    <t xml:space="preserve">Animations musicales prévues (présentation ADS) — barème majoré musique vivante</t>
  </si>
  <si>
    <t xml:space="preserve">Cotisations professionnelles (UMIH…)</t>
  </si>
  <si>
    <t xml:space="preserve">57</t>
  </si>
  <si>
    <t xml:space="preserve">IMPÔTS ET TAXES</t>
  </si>
  <si>
    <t xml:space="preserve">CFE</t>
  </si>
  <si>
    <t xml:space="preserve">Annuelle (déc.)</t>
  </si>
  <si>
    <t xml:space="preserve">657</t>
  </si>
  <si>
    <t xml:space="preserve">Exonération CFE l'année de création (2024) puis base réduite de 50 % la 1re année d'imposition (rôle déc. 2025 → N+1), pleine en N+2 — centre-ville Nantes (source : CCI/impots.gouv via benchmark)</t>
  </si>
  <si>
    <t xml:space="preserve">Formation pro + taxe d'apprentissage (AUTO RCA)</t>
  </si>
  <si>
    <t xml:space="preserve">820</t>
  </si>
  <si>
    <t xml:space="preserve">⚠ NE PAS SAISIR dans l'onglet CHARGES de RCA : calcul automatique dans PERSONNEL &gt; Taxes assises sur les salaires (TA 0,68 % + FP 0,55 % des bruts — écran v10.2). Gardé ici pour le contrôle économique.</t>
  </si>
  <si>
    <t xml:space="preserve">TOTAL CHARGES EXTERNES + IMPÔTS</t>
  </si>
  <si>
    <t xml:space="preserve">En % du CA HT (contrôle)</t>
  </si>
  <si>
    <t xml:space="preserve">Cédant retraité (hors appart. perso 7 800 €) : 25,5 % du CA · Exemple BT : 21-22 % · Économies d'échelle attendues</t>
  </si>
  <si>
    <t xml:space="preserve">Réconciliation avec le fichier « RCA Saisie » (onglet 4-Charges)</t>
  </si>
  <si>
    <t xml:space="preserve">Total saisi dans RCA = 92 500 € en N (mêmes lignes, regroupées selon les libellés du logiciel) + CFE via « Impôts locaux » (0/950/1 900) ; la ligne « Formation pro + TA » ci-dessus n'est PAS saisie (calcul auto RCA) mais reste comptée dans le contrôle économique.</t>
  </si>
  <si>
    <t xml:space="preserve">ONGLET RCA « PERSONNEL » — un profil par ligne ; brut mensuel × effectif, détail mensuel possible (MO p. 39-42). Paiement des salaires : « mois en cours » (reco MO p. 40). — JUSTIFICATIF. Saisie logiciel : « RCA Saisie », onglet 5-Personnel.</t>
  </si>
  <si>
    <t xml:space="preserve">Profil</t>
  </si>
  <si>
    <t xml:space="preserve">Brut mensuel N</t>
  </si>
  <si>
    <t xml:space="preserve">Brut N+1</t>
  </si>
  <si>
    <t xml:space="preserve">Brut N+2</t>
  </si>
  <si>
    <t xml:space="preserve">Début</t>
  </si>
  <si>
    <t xml:space="preserve">Mois/an</t>
  </si>
  <si>
    <t xml:space="preserve">Cotis. sal.</t>
  </si>
  <si>
    <t xml:space="preserve">Cotis. pat.</t>
  </si>
  <si>
    <t xml:space="preserve">Brut annuel N</t>
  </si>
  <si>
    <t xml:space="preserve">Pierre Durand — Président SASU (assimilé salarié)</t>
  </si>
  <si>
    <t xml:space="preserve">22%</t>
  </si>
  <si>
    <t xml:space="preserve">45%</t>
  </si>
  <si>
    <t xml:space="preserve">Rémunération volontairement basse en lancement puis progressive ; assimilé salarié : patronales réelles ≈ 45 % (≠ défaut RCA 25 % → modifier le taux sur ce profil, MO p. 41). Fin ARE 05/2024 (rdv) : pas de maintien.</t>
  </si>
  <si>
    <t xml:space="preserve">Cuisinier polyvalent / plongeur (39 h)</t>
  </si>
  <si>
    <t xml:space="preserve">25%</t>
  </si>
  <si>
    <t xml:space="preserve">Équipe du rdv 14/02 ; grille HCR 2024 niveau II ≈ 12,3-12,8 €/h × 169 h</t>
  </si>
  <si>
    <t xml:space="preserve">Serveur·se (39 h)</t>
  </si>
  <si>
    <t xml:space="preserve">Équipe du rdv ; HCR niveau I-II</t>
  </si>
  <si>
    <t xml:space="preserve">Apprenti(e) salle</t>
  </si>
  <si>
    <t xml:space="preserve">09/2026</t>
  </si>
  <si>
    <t xml:space="preserve">≈0%</t>
  </si>
  <si>
    <t xml:space="preserve">5%</t>
  </si>
  <si>
    <t xml:space="preserve">Équipe du rdv ; rémunération % SMIC selon âge/année, exonérations apprentissage — entrée à la rentrée 09/2024 (9 mois sur N)</t>
  </si>
  <si>
    <t xml:space="preserve">Extras salle (CDD d'usage, jeu-ven-sam soir)</t>
  </si>
  <si>
    <t xml:space="preserve">Rdv : « extras jeudi-vendredi-samedi soir » ; ≈ 12-13 soirées/mois × 4 h ; 11 mois (fermetures) ; renfort été N+1/N+2</t>
  </si>
  <si>
    <t xml:space="preserve">Commis de cuisine (39 h) — embauche N+1</t>
  </si>
  <si>
    <t xml:space="preserve">06/2027</t>
  </si>
  <si>
    <t xml:space="preserve">Montée en charge N+1 (CA +14 %) ; anticipé dans le BP — recrutement réputé difficile (69 % cuisiniers, Analyse sect. p. 19)</t>
  </si>
  <si>
    <t xml:space="preserve">MASSE SALARIALE BRUTE N (hors charges patronales)</t>
  </si>
  <si>
    <t xml:space="preserve">Charges patronales N (≈)</t>
  </si>
  <si>
    <t xml:space="preserve">COÛT TOTAL EMPLOYEUR N (≈)</t>
  </si>
  <si>
    <t xml:space="preserve">En % du CA HT — contrôle</t>
  </si>
  <si>
    <t xml:space="preserve">Secteur (sociétés, dirigeant inclus) : 42 % du CA (Analyse sect. p. 39). Notre ratio est bas car le dirigeant se rémunère peu en N — montrer le ratio retraité d'une rémunération de marché au banquier.</t>
  </si>
  <si>
    <t xml:space="preserve">Autres frais à saisir (MO p. 42) : médecine du travail ≈ 90 €/salarié/an · mutuelle d'entreprise (50 % employeur) · avantage en nature repas (forfait HCR par repas, auto dans la paie) — pour mémoire, RCA les gère dans PERSONNEL/détail.</t>
  </si>
  <si>
    <t xml:space="preserve">ONGLETS RCA « IMPÔTS » ET « DIVERS » + PARAMÈTRES GÉNÉRAUX — JUSTIFICATIF. Saisie logiciel : « RCA Saisie », onglet 6.</t>
  </si>
  <si>
    <t xml:space="preserve">PARAMÈTRES DU DOSSIER (assistant de création — définitifs)</t>
  </si>
  <si>
    <t xml:space="preserve">Type</t>
  </si>
  <si>
    <t xml:space="preserve">Création d'activité</t>
  </si>
  <si>
    <t xml:space="preserve">La SASU n'a pas d'historique d'exploitation (créée 10/2023, prestations ponctuelles) — pas de balance N-1 à importer ; le fonds repris n'apporte ni compta ni salariés (rdv : « ni reprise de contrat ni de salarié »)</t>
  </si>
  <si>
    <t xml:space="preserve">Début de la prévision</t>
  </si>
  <si>
    <t xml:space="preserve">06/2026 (dossier créé : 06/2026 → 05/2029 ✓)</t>
  </si>
  <si>
    <t xml:space="preserve">Format MM/AAAA (MO p. 5)</t>
  </si>
  <si>
    <t xml:space="preserve">Durée des exercices</t>
  </si>
  <si>
    <t xml:space="preserve">12 mois — clôture 31/05 ✓ (paramétré)</t>
  </si>
  <si>
    <t xml:space="preserve">Reco MO p. 5</t>
  </si>
  <si>
    <t xml:space="preserve">Durée de la prévision</t>
  </si>
  <si>
    <t xml:space="preserve">3 exercices</t>
  </si>
  <si>
    <t xml:space="preserve">Création : 3 ans (MO p. 5) ; passer à 4 si la banque le demande</t>
  </si>
  <si>
    <t xml:space="preserve">Forme</t>
  </si>
  <si>
    <t xml:space="preserve">Société à l'IS — « dirigeant-salarié » coché</t>
  </si>
  <si>
    <t xml:space="preserve">SASU (rdv) ; MO p. 5 : pour les SAS, cocher dirigeant-salarié</t>
  </si>
  <si>
    <t xml:space="preserve">Interface</t>
  </si>
  <si>
    <t xml:space="preserve">« Développé »</t>
  </si>
  <si>
    <t xml:space="preserve">Choix définitif (MO p. 6)</t>
  </si>
  <si>
    <t xml:space="preserve">Cotisations par défaut</t>
  </si>
  <si>
    <t xml:space="preserve">22 % salariales / 25 % patronales</t>
  </si>
  <si>
    <t xml:space="preserve">MO p. 6 ; ajuster 45 % patronales sur le profil dirigeant (onglet PERSONNEL)</t>
  </si>
  <si>
    <t xml:space="preserve">IMPÔTS</t>
  </si>
  <si>
    <t xml:space="preserve">Taux d'IS</t>
  </si>
  <si>
    <t xml:space="preserve">« Taux réduit PME »</t>
  </si>
  <si>
    <t xml:space="preserve">15 % jusqu'à 42 500 € de bénéfice puis 25 % — choix dans IMPÔTS (MO p. 44)</t>
  </si>
  <si>
    <t xml:space="preserve">CVAE</t>
  </si>
  <si>
    <t xml:space="preserve">Coche « CALCUL C.E.T. »</t>
  </si>
  <si>
    <t xml:space="preserve">Calcul automatique (MO p. 38) ; CFE saisie dans CHARGES</t>
  </si>
  <si>
    <t xml:space="preserve">Taux sur ventes</t>
  </si>
  <si>
    <t xml:space="preserve">10 % et 20 % (par activité)</t>
  </si>
  <si>
    <t xml:space="preserve">Déjà paramétré dans les 2 lignes d'activité (onglet Saisie RCA)</t>
  </si>
  <si>
    <t xml:space="preserve">Taux sur achats</t>
  </si>
  <si>
    <t xml:space="preserve">5,5 % (nourriture) / 20 % (boissons)</t>
  </si>
  <si>
    <t xml:space="preserve">Idem</t>
  </si>
  <si>
    <t xml:space="preserve">Exigibilité</t>
  </si>
  <si>
    <t xml:space="preserve">Ventes : à l'encaissement (débits) — restauration = encaissement immédiat ; Achats : à la facturation</t>
  </si>
  <si>
    <t xml:space="preserve">Clients 0 jour ; sans enjeu de décalage</t>
  </si>
  <si>
    <t xml:space="preserve">Périodicité de paiement</t>
  </si>
  <si>
    <t xml:space="preserve">Mensuelle (réel normal)</t>
  </si>
  <si>
    <t xml:space="preserve">« Autres paramètres » (MO p. 14) ; CA 3046 demandée si remboursement crédit TVA initial</t>
  </si>
  <si>
    <t xml:space="preserve">DIVERS</t>
  </si>
  <si>
    <t xml:space="preserve">Remboursement crédit de TVA initial</t>
  </si>
  <si>
    <t xml:space="preserve">Activer (mois 2-3)</t>
  </si>
  <si>
    <t xml:space="preserve">Cohérent avec le crédit relais TVA du financement (contrôle : même mois — MO p. 45)</t>
  </si>
  <si>
    <t xml:space="preserve">Comptes courants d'associés</t>
  </si>
  <si>
    <t xml:space="preserve">Pas de remboursement avant N+3</t>
  </si>
  <si>
    <t xml:space="preserve">Engagement de blocage probable exigé par la banque</t>
  </si>
  <si>
    <t xml:space="preserve">Dividendes</t>
  </si>
  <si>
    <t xml:space="preserve">Aucun sur l'horizon</t>
  </si>
  <si>
    <t xml:space="preserve">Priorité au désendettement et au reste à vivre via salaire</t>
  </si>
  <si>
    <t xml:space="preserve">CONTRÔLE DE FAISABILITÉ — compte de résultat simplifié avant saisie RCA</t>
  </si>
  <si>
    <t xml:space="preserve">Approximation de cadrage : RCA calculera les amortissements/intérêts au prorata exact. Les lignes bleues sont des estimations à fiabiliser dans RCA (Contrôle &gt; SIG / Seuil de rentabilité, MO p. 45-47).</t>
  </si>
  <si>
    <t xml:space="preserve">N (06/24-05/25)</t>
  </si>
  <si>
    <t xml:space="preserve">Notes</t>
  </si>
  <si>
    <t xml:space="preserve">CA HT</t>
  </si>
  <si>
    <t xml:space="preserve">Ventilé 10 %/20 % (onglet Saisie RCA)</t>
  </si>
  <si>
    <t xml:space="preserve">Marge brute globale</t>
  </si>
  <si>
    <t xml:space="preserve">70 % nourriture / 78 % boissons — cédant 69,8 % global</t>
  </si>
  <si>
    <t xml:space="preserve">   en % CA</t>
  </si>
  <si>
    <t xml:space="preserve">Secteur : ≥ 65 % (coût matière ≤ 35 %, Analyse sect. p. 71)</t>
  </si>
  <si>
    <t xml:space="preserve">Charges externes + impôts &amp; taxes</t>
  </si>
  <si>
    <t xml:space="preserve">Onglet RCA Charges (calé comptes cédant 2022 retraités)</t>
  </si>
  <si>
    <t xml:space="preserve">Charges de personnel (chargées)</t>
  </si>
  <si>
    <t xml:space="preserve">Dirigeant à 45 % de patronales, apprenti 5 %, autres 25 %</t>
  </si>
  <si>
    <t xml:space="preserve">EXCÉDENT BRUT D'EXPLOITATION</t>
  </si>
  <si>
    <t xml:space="preserve">   EBE en % CA</t>
  </si>
  <si>
    <t xml:space="preserve">Secteur sociétés : 13,6 % (Analyse sect. p. 39) ; notre N élevé = effet rémunération dirigeante réduite</t>
  </si>
  <si>
    <t xml:space="preserve">Dotations aux amortissements (estim.)</t>
  </si>
  <si>
    <t xml:space="preserve">V2 : N porte ≈ 24 k€ de frais de démarrage amortis 1 an (droits, transaction, jur., PE+HACCP, pub) — non récurrents ; N+2 intègre la tranche 2 travaux (1,2 k€/an)</t>
  </si>
  <si>
    <t xml:space="preserve">Intérêts d'emprunts + ADI (estim.)</t>
  </si>
  <si>
    <t xml:space="preserve">Échéanciers exacts : A 180 k€ à 4,30 % (84 m, différé 3 m, mens. 2 564 €) + B 46 k€ à 4,40 % (120 m, différé 3 m, mens. 484 €) + ADI 0,30 % (678 €/an). Taux à coter au jour du dépôt (réf. BdF T1 2025 : 4,7 % ; détente 2025-26).</t>
  </si>
  <si>
    <t xml:space="preserve">RÉSULTAT COURANT AVANT IS</t>
  </si>
  <si>
    <t xml:space="preserve">IS (15 % ≤ 42,5 k€, puis 25 %)</t>
  </si>
  <si>
    <t xml:space="preserve">Taux réduit PME (option IMPÔTS de RCA)</t>
  </si>
  <si>
    <t xml:space="preserve">RÉSULTAT NET</t>
  </si>
  <si>
    <t xml:space="preserve">CAF (RN + dotations)</t>
  </si>
  <si>
    <t xml:space="preserve">CRITÈRES BANCAIRES</t>
  </si>
  <si>
    <t xml:space="preserve">Capital remboursé (emprunt + PH)</t>
  </si>
  <si>
    <t xml:space="preserve">Capital A+B (différé 3 mois en N) + prêt d'honneur 185 €/mois dès le mois 7</t>
  </si>
  <si>
    <t xml:space="preserve">CAF − remboursements (marge de sécurité)</t>
  </si>
  <si>
    <t xml:space="preserve">Doit rester positif (MO p. 45 : CAF &gt; remboursements)</t>
  </si>
  <si>
    <t xml:space="preserve">Annuités totales / EBE</t>
  </si>
  <si>
    <t xml:space="preserve">Usage bancaire : ≤ 60-70 % de l'EBE</t>
  </si>
  <si>
    <t xml:space="preserve">Salaire net annuel dirigeant (reste à vivre)</t>
  </si>
  <si>
    <t xml:space="preserve">≈ 14 k€ net en N : à challenger avec ses besoins personnels (loyer Boulogne ? famille ?) — question au client</t>
  </si>
  <si>
    <t xml:space="preserve">LECTURE</t>
  </si>
  <si>
    <t xml:space="preserve">Verdict v2 (investissements complets, benchmarkés) : le projet reste finançable mais le point de passage est l'année 2. En N, l'EBE (≈ 73 k€) couvre 2× les annuités malgré ≈ 24 k€ de frais de démarrage amortis en 1 an. En N+1, la montée de la masse salariale (commis + rémunération dirigeant) porte les annuités à ≈ 65 % de l'EBE et le DSCR à ≈ 1,14 — sous la cible bancaire de 1,2 : zone orange assumée, compensée en N+2 (51 % et DSCR ≈ 1,5). Trois leviers à présenter : différer le commis de 6 mois, prêt d'honneur porté à 15-20 k€, crédit vendeur. Points de vigilance : apport à 17 % du projet (usage : 30 % en reprise CHR) et reste à vivre dirigeant ≈ 14 k€ net en N — deux questions à poser au client avant le dépôt. Sensibilité à tester dans RCA (gestion d'hypothèses, MO p. 14) : CA −10 %.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</si>
</sst>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0\ %"/>
    <numFmt numFmtId="166" formatCode="mmm\-yy"/>
    <numFmt numFmtId="167" formatCode="0"/>
    <numFmt numFmtId="168" formatCode="#,##0.00&quot; €&quot;"/>
    <numFmt numFmtId="169" formatCode="#,##0"/>
    <numFmt numFmtId="170" formatCode="#,##0&quot; €&quot;"/>
    <numFmt numFmtId="171" formatCode="_-* #,##0\ _€_-;\-* #,##0\ _€_-;_-* \-??\ _€_-;_-@_-"/>
    <numFmt numFmtId="172" formatCode="_-* #,##0.00\ _€_-;\-* #,##0.00\ _€_-;_-* \-??\ _€_-;_-@_-"/>
    <numFmt numFmtId="173" formatCode="0.00\ %"/>
    <numFmt numFmtId="174" formatCode="0.0%"/>
    <numFmt numFmtId="175" formatCode="\+0.0%;\-0.0%"/>
    <numFmt numFmtId="176" formatCode="0.0"/>
  </numFmts>
  <fonts count="1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theme="1"/>
      <name val="Calibri"/>
      <family val="2"/>
      <charset val="1"/>
    </font>
    <font>
      <b val="true"/>
      <sz val="11"/>
      <color theme="1"/>
      <name val="Calibri"/>
      <family val="2"/>
      <charset val="1"/>
    </font>
    <font>
      <b val="true"/>
      <sz val="9"/>
      <color theme="1"/>
      <name val="Calibri"/>
      <family val="2"/>
      <charset val="1"/>
    </font>
    <font>
      <sz val="9"/>
      <color theme="1"/>
      <name val="Calibri"/>
      <family val="2"/>
      <charset val="1"/>
    </font>
    <font>
      <b val="true"/>
      <sz val="9"/>
      <name val="Calibri"/>
      <family val="2"/>
      <charset val="1"/>
    </font>
    <font>
      <sz val="10"/>
      <color theme="1"/>
      <name val="Calibri"/>
      <family val="2"/>
      <charset val="1"/>
    </font>
    <font>
      <sz val="9"/>
      <color rgb="FF0000FF"/>
      <name val="Calibri"/>
      <family val="0"/>
      <charset val="1"/>
    </font>
    <font>
      <b val="true"/>
      <sz val="12"/>
      <name val="Arial"/>
      <family val="0"/>
      <charset val="1"/>
    </font>
    <font>
      <i val="true"/>
      <sz val="9"/>
      <color rgb="FF666666"/>
      <name val="Arial"/>
      <family val="0"/>
      <charset val="1"/>
    </font>
    <font>
      <b val="true"/>
      <sz val="10"/>
      <name val="Arial"/>
      <family val="0"/>
      <charset val="1"/>
    </font>
    <font>
      <sz val="10"/>
      <name val="Arial"/>
      <family val="0"/>
      <charset val="1"/>
    </font>
    <font>
      <sz val="10"/>
      <color rgb="FF0000FF"/>
      <name val="Arial"/>
      <family val="0"/>
      <charset val="1"/>
    </font>
    <font>
      <sz val="10"/>
      <color rgb="FF008000"/>
      <name val="Arial"/>
      <family val="0"/>
      <charset val="1"/>
    </font>
    <font>
      <b val="true"/>
      <i val="true"/>
      <sz val="9"/>
      <color rgb="FF666666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AEE428"/>
        <bgColor rgb="FFFFCC00"/>
      </patternFill>
    </fill>
    <fill>
      <patternFill patternType="solid">
        <fgColor rgb="FFD9E1F2"/>
        <bgColor rgb="FFE2EFDA"/>
      </patternFill>
    </fill>
    <fill>
      <patternFill patternType="solid">
        <fgColor rgb="FFF2F2F2"/>
        <bgColor rgb="FFE2EFDA"/>
      </patternFill>
    </fill>
    <fill>
      <patternFill patternType="solid">
        <fgColor rgb="FFFFF2CC"/>
        <bgColor rgb="FFF2F2F2"/>
      </patternFill>
    </fill>
    <fill>
      <patternFill patternType="solid">
        <fgColor rgb="FFE2EFDA"/>
        <bgColor rgb="FFF2F2F2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7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7" fillId="0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7" fillId="0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0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7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0" fillId="0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0" fillId="0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0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10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7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7" fillId="0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2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72" fontId="7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7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2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6" fillId="0" borderId="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6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9" fontId="6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0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3" fontId="0" fillId="0" borderId="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3" fillId="3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4" fillId="0" borderId="9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5" fillId="0" borderId="9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5" fillId="0" borderId="9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2" fillId="0" borderId="9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1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3" fillId="0" borderId="9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4" fillId="0" borderId="9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16" fillId="0" borderId="9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5" fontId="16" fillId="0" borderId="9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15" fillId="0" borderId="9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7" fontId="15" fillId="0" borderId="9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4" fontId="15" fillId="0" borderId="9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16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16" fillId="0" borderId="9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6" fontId="16" fillId="0" borderId="9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6" fontId="16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3" fillId="3" borderId="9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9" fontId="15" fillId="0" borderId="9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3" fillId="4" borderId="9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13" fillId="4" borderId="9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3" fillId="3" borderId="9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4" fontId="16" fillId="0" borderId="9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2" fillId="0" borderId="9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4" fillId="5" borderId="9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4" borderId="9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14" fillId="0" borderId="9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16" fillId="0" borderId="9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3" fillId="6" borderId="9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2F2F2"/>
      <rgbColor rgb="FFFF0000"/>
      <rgbColor rgb="FF00FF00"/>
      <rgbColor rgb="FF0000FF"/>
      <rgbColor rgb="FFFFFF00"/>
      <rgbColor rgb="FFFF33CC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3366FF"/>
      <rgbColor rgb="FF33CCCC"/>
      <rgbColor rgb="FFAEE428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33CC"/>
    <pageSetUpPr fitToPage="true"/>
  </sheetPr>
  <dimension ref="B1:AO52"/>
  <sheetViews>
    <sheetView showFormulas="false" showGridLines="false" showRowColHeaders="true" showZeros="true" rightToLeft="false" tabSelected="true" showOutlineSymbols="true" defaultGridColor="true" view="normal" topLeftCell="A38" colorId="64" zoomScale="120" zoomScaleNormal="120" zoomScalePageLayoutView="100" workbookViewId="0">
      <selection pane="topLeft" activeCell="J40" activeCellId="0" sqref="J40"/>
    </sheetView>
  </sheetViews>
  <sheetFormatPr defaultColWidth="11.42578125" defaultRowHeight="14.25" customHeight="false" zeroHeight="false" outlineLevelRow="0" outlineLevelCol="0"/>
  <cols>
    <col collapsed="false" customWidth="true" hidden="false" outlineLevel="0" max="1" min="1" style="1" width="2.42"/>
    <col collapsed="false" customWidth="true" hidden="false" outlineLevel="0" max="2" min="2" style="1" width="15.57"/>
    <col collapsed="false" customWidth="true" hidden="false" outlineLevel="0" max="3" min="3" style="1" width="8"/>
    <col collapsed="false" customWidth="true" hidden="false" outlineLevel="0" max="4" min="4" style="1" width="6.57"/>
    <col collapsed="false" customWidth="true" hidden="false" outlineLevel="0" max="5" min="5" style="1" width="6"/>
    <col collapsed="false" customWidth="true" hidden="false" outlineLevel="0" max="6" min="6" style="1" width="6.85"/>
    <col collapsed="false" customWidth="true" hidden="false" outlineLevel="0" max="7" min="7" style="1" width="8.15"/>
    <col collapsed="false" customWidth="true" hidden="false" outlineLevel="0" max="8" min="8" style="1" width="10.85"/>
    <col collapsed="false" customWidth="true" hidden="false" outlineLevel="0" max="9" min="9" style="1" width="8"/>
    <col collapsed="false" customWidth="true" hidden="false" outlineLevel="0" max="10" min="10" style="1" width="6.71"/>
    <col collapsed="false" customWidth="true" hidden="false" outlineLevel="0" max="11" min="11" style="1" width="5.86"/>
    <col collapsed="false" customWidth="true" hidden="false" outlineLevel="0" max="12" min="12" style="1" width="6.85"/>
    <col collapsed="false" customWidth="true" hidden="false" outlineLevel="0" max="13" min="13" style="1" width="8.15"/>
    <col collapsed="false" customWidth="true" hidden="false" outlineLevel="0" max="14" min="14" style="1" width="10.42"/>
    <col collapsed="false" customWidth="true" hidden="true" outlineLevel="0" max="15" min="15" style="1" width="6.71"/>
    <col collapsed="false" customWidth="true" hidden="true" outlineLevel="0" max="17" min="16" style="1" width="5.71"/>
    <col collapsed="false" customWidth="true" hidden="true" outlineLevel="0" max="18" min="18" style="1" width="8.15"/>
    <col collapsed="false" customWidth="true" hidden="true" outlineLevel="0" max="19" min="19" style="1" width="7.16"/>
    <col collapsed="false" customWidth="true" hidden="true" outlineLevel="0" max="21" min="20" style="1" width="6.71"/>
    <col collapsed="false" customWidth="true" hidden="true" outlineLevel="0" max="22" min="22" style="1" width="6.85"/>
    <col collapsed="false" customWidth="true" hidden="true" outlineLevel="0" max="24" min="23" style="1" width="9.57"/>
    <col collapsed="false" customWidth="true" hidden="true" outlineLevel="0" max="25" min="25" style="1" width="9"/>
    <col collapsed="false" customWidth="true" hidden="false" outlineLevel="0" max="26" min="26" style="1" width="1.42"/>
    <col collapsed="false" customWidth="true" hidden="false" outlineLevel="0" max="27" min="27" style="1" width="0.86"/>
    <col collapsed="false" customWidth="true" hidden="false" outlineLevel="0" max="28" min="28" style="1" width="10"/>
    <col collapsed="false" customWidth="true" hidden="true" outlineLevel="0" max="29" min="29" style="1" width="13"/>
    <col collapsed="false" customWidth="true" hidden="true" outlineLevel="0" max="30" min="30" style="1" width="10.29"/>
    <col collapsed="false" customWidth="true" hidden="true" outlineLevel="0" max="31" min="31" style="1" width="22.86"/>
    <col collapsed="false" customWidth="true" hidden="true" outlineLevel="0" max="32" min="32" style="1" width="12.86"/>
    <col collapsed="false" customWidth="true" hidden="true" outlineLevel="0" max="33" min="33" style="1" width="14.42"/>
    <col collapsed="false" customWidth="true" hidden="true" outlineLevel="0" max="34" min="34" style="1" width="13"/>
    <col collapsed="false" customWidth="true" hidden="true" outlineLevel="0" max="35" min="35" style="1" width="13.71"/>
    <col collapsed="false" customWidth="true" hidden="false" outlineLevel="0" max="37" min="36" style="1" width="13.71"/>
    <col collapsed="false" customWidth="true" hidden="false" outlineLevel="0" max="38" min="38" style="1" width="11.85"/>
    <col collapsed="false" customWidth="true" hidden="false" outlineLevel="0" max="39" min="39" style="1" width="12.15"/>
  </cols>
  <sheetData>
    <row r="1" customFormat="false" ht="18" hidden="false" customHeight="true" outlineLevel="0" collapsed="false">
      <c r="B1" s="2" t="s">
        <v>0</v>
      </c>
    </row>
    <row r="2" customFormat="false" ht="14.25" hidden="false" customHeight="true" outlineLevel="0" collapsed="false">
      <c r="B2" s="1" t="s">
        <v>1</v>
      </c>
      <c r="O2" s="3"/>
    </row>
    <row r="3" customFormat="false" ht="14.25" hidden="true" customHeight="true" outlineLevel="0" collapsed="false"/>
    <row r="5" s="4" customFormat="true" ht="20.25" hidden="false" customHeight="true" outlineLevel="0" collapsed="false">
      <c r="B5" s="5" t="s">
        <v>2</v>
      </c>
      <c r="C5" s="6" t="s">
        <v>3</v>
      </c>
      <c r="D5" s="7" t="s">
        <v>4</v>
      </c>
      <c r="E5" s="7"/>
      <c r="F5" s="7"/>
      <c r="G5" s="7"/>
      <c r="H5" s="7"/>
      <c r="I5" s="6" t="s">
        <v>5</v>
      </c>
      <c r="J5" s="7" t="s">
        <v>6</v>
      </c>
      <c r="K5" s="7"/>
      <c r="L5" s="7"/>
      <c r="M5" s="7"/>
      <c r="N5" s="7"/>
      <c r="O5" s="8" t="s">
        <v>7</v>
      </c>
      <c r="P5" s="8"/>
      <c r="Q5" s="8"/>
      <c r="R5" s="8"/>
      <c r="S5" s="8"/>
      <c r="T5" s="8" t="s">
        <v>8</v>
      </c>
      <c r="U5" s="8"/>
      <c r="V5" s="8"/>
      <c r="W5" s="8"/>
      <c r="X5" s="8"/>
      <c r="Y5" s="9"/>
      <c r="Z5" s="9"/>
      <c r="AA5" s="9"/>
      <c r="AB5" s="10" t="s">
        <v>9</v>
      </c>
      <c r="AD5" s="9"/>
      <c r="AF5" s="11" t="s">
        <v>10</v>
      </c>
      <c r="AG5" s="11"/>
      <c r="AL5" s="12" t="s">
        <v>11</v>
      </c>
    </row>
    <row r="6" s="13" customFormat="true" ht="40.5" hidden="false" customHeight="true" outlineLevel="0" collapsed="false">
      <c r="B6" s="5"/>
      <c r="C6" s="6"/>
      <c r="D6" s="14" t="s">
        <v>12</v>
      </c>
      <c r="E6" s="15" t="s">
        <v>13</v>
      </c>
      <c r="F6" s="15" t="s">
        <v>14</v>
      </c>
      <c r="G6" s="15" t="s">
        <v>15</v>
      </c>
      <c r="H6" s="15" t="s">
        <v>16</v>
      </c>
      <c r="I6" s="6"/>
      <c r="J6" s="14" t="s">
        <v>12</v>
      </c>
      <c r="K6" s="15" t="s">
        <v>13</v>
      </c>
      <c r="L6" s="15" t="s">
        <v>14</v>
      </c>
      <c r="M6" s="15" t="s">
        <v>15</v>
      </c>
      <c r="N6" s="6" t="s">
        <v>16</v>
      </c>
      <c r="O6" s="10" t="s">
        <v>12</v>
      </c>
      <c r="P6" s="16" t="s">
        <v>13</v>
      </c>
      <c r="Q6" s="16" t="s">
        <v>14</v>
      </c>
      <c r="R6" s="16" t="s">
        <v>15</v>
      </c>
      <c r="S6" s="10" t="s">
        <v>16</v>
      </c>
      <c r="T6" s="10" t="s">
        <v>12</v>
      </c>
      <c r="U6" s="16" t="s">
        <v>13</v>
      </c>
      <c r="V6" s="16" t="s">
        <v>14</v>
      </c>
      <c r="W6" s="16" t="s">
        <v>15</v>
      </c>
      <c r="X6" s="10" t="s">
        <v>16</v>
      </c>
      <c r="Y6" s="17" t="s">
        <v>17</v>
      </c>
      <c r="Z6" s="17"/>
      <c r="AA6" s="17"/>
      <c r="AB6" s="10"/>
      <c r="AD6" s="18" t="s">
        <v>18</v>
      </c>
      <c r="AF6" s="19" t="s">
        <v>19</v>
      </c>
      <c r="AG6" s="13" t="s">
        <v>20</v>
      </c>
      <c r="AH6" s="13" t="s">
        <v>21</v>
      </c>
      <c r="AL6" s="12"/>
    </row>
    <row r="7" s="20" customFormat="true" ht="15" hidden="false" customHeight="true" outlineLevel="0" collapsed="false">
      <c r="B7" s="21" t="n">
        <v>46174</v>
      </c>
      <c r="C7" s="22" t="n">
        <v>20</v>
      </c>
      <c r="D7" s="23" t="n">
        <v>20</v>
      </c>
      <c r="E7" s="24" t="n">
        <v>26</v>
      </c>
      <c r="F7" s="25" t="n">
        <f aca="false">D7*E7</f>
        <v>520</v>
      </c>
      <c r="G7" s="26" t="n">
        <f aca="false">F7*C7</f>
        <v>10400</v>
      </c>
      <c r="H7" s="26" t="n">
        <f aca="false">G7/1.1</f>
        <v>9454.54545454545</v>
      </c>
      <c r="I7" s="22" t="n">
        <v>21</v>
      </c>
      <c r="J7" s="23" t="n">
        <v>16</v>
      </c>
      <c r="K7" s="24" t="n">
        <v>52</v>
      </c>
      <c r="L7" s="25" t="n">
        <f aca="false">J7*K7</f>
        <v>832</v>
      </c>
      <c r="M7" s="26" t="n">
        <f aca="false">I7*L7</f>
        <v>17472</v>
      </c>
      <c r="N7" s="27" t="n">
        <f aca="false">M7/1.1</f>
        <v>15883.6363636364</v>
      </c>
      <c r="O7" s="28" t="n">
        <f aca="false">ROUND(20*AD7,0)</f>
        <v>12</v>
      </c>
      <c r="P7" s="29" t="n">
        <f aca="false">E7</f>
        <v>26</v>
      </c>
      <c r="Q7" s="30" t="n">
        <f aca="false">O7*P7</f>
        <v>312</v>
      </c>
      <c r="R7" s="30" t="n">
        <f aca="false">Q7*C7</f>
        <v>6240</v>
      </c>
      <c r="S7" s="30" t="n">
        <f aca="false">R7/1.1</f>
        <v>5672.72727272727</v>
      </c>
      <c r="T7" s="31" t="n">
        <v>7</v>
      </c>
      <c r="U7" s="32" t="n">
        <v>16</v>
      </c>
      <c r="V7" s="27" t="n">
        <f aca="false">T7*U7</f>
        <v>112</v>
      </c>
      <c r="W7" s="30" t="n">
        <f aca="false">V7*Y7</f>
        <v>1344</v>
      </c>
      <c r="X7" s="30" t="n">
        <f aca="false">W7/1.1</f>
        <v>1221.81818181818</v>
      </c>
      <c r="Y7" s="33" t="n">
        <v>12</v>
      </c>
      <c r="Z7" s="34"/>
      <c r="AA7" s="35"/>
      <c r="AB7" s="30" t="n">
        <f aca="false">+S7+N7+H7+X7</f>
        <v>32232.7272727273</v>
      </c>
      <c r="AC7" s="36" t="n">
        <f aca="false">+AB7/$AB$20</f>
        <v>0.0839115823354002</v>
      </c>
      <c r="AD7" s="37" t="n">
        <v>0.6</v>
      </c>
      <c r="AE7" s="38" t="s">
        <v>22</v>
      </c>
      <c r="AF7" s="36" t="n">
        <v>0.65</v>
      </c>
      <c r="AG7" s="36" t="n">
        <v>0.55</v>
      </c>
      <c r="AH7" s="36" t="n">
        <v>0.55</v>
      </c>
      <c r="AK7" s="39" t="n">
        <f aca="false">B7</f>
        <v>46174</v>
      </c>
      <c r="AL7" s="40" t="n">
        <f aca="false">+AB7/$AB$20</f>
        <v>0.0839115823354002</v>
      </c>
    </row>
    <row r="8" s="20" customFormat="true" ht="15" hidden="false" customHeight="true" outlineLevel="0" collapsed="false">
      <c r="B8" s="21" t="n">
        <v>46204</v>
      </c>
      <c r="C8" s="22" t="n">
        <v>23</v>
      </c>
      <c r="D8" s="22" t="n">
        <v>22</v>
      </c>
      <c r="E8" s="41" t="n">
        <v>26</v>
      </c>
      <c r="F8" s="42" t="n">
        <f aca="false">D8*E8</f>
        <v>572</v>
      </c>
      <c r="G8" s="27" t="n">
        <f aca="false">F8*C8</f>
        <v>13156</v>
      </c>
      <c r="H8" s="27" t="n">
        <f aca="false">G8/1.1</f>
        <v>11960</v>
      </c>
      <c r="I8" s="22" t="n">
        <v>23</v>
      </c>
      <c r="J8" s="22" t="n">
        <v>18</v>
      </c>
      <c r="K8" s="41" t="n">
        <v>52</v>
      </c>
      <c r="L8" s="42" t="n">
        <f aca="false">J8*K8</f>
        <v>936</v>
      </c>
      <c r="M8" s="27" t="n">
        <f aca="false">I8*L8</f>
        <v>21528</v>
      </c>
      <c r="N8" s="27" t="n">
        <f aca="false">M8/1.1</f>
        <v>19570.9090909091</v>
      </c>
      <c r="O8" s="28" t="n">
        <f aca="false">ROUND(20*AD8,0)</f>
        <v>10</v>
      </c>
      <c r="P8" s="29" t="n">
        <f aca="false">E8</f>
        <v>26</v>
      </c>
      <c r="Q8" s="30" t="n">
        <f aca="false">O8*P8</f>
        <v>260</v>
      </c>
      <c r="R8" s="30" t="n">
        <f aca="false">Q8*C8</f>
        <v>5980</v>
      </c>
      <c r="S8" s="30" t="n">
        <f aca="false">R8/1.1</f>
        <v>5436.36363636364</v>
      </c>
      <c r="T8" s="31" t="n">
        <v>7</v>
      </c>
      <c r="U8" s="32" t="n">
        <v>16</v>
      </c>
      <c r="V8" s="27" t="n">
        <f aca="false">T8*U8</f>
        <v>112</v>
      </c>
      <c r="W8" s="30" t="n">
        <f aca="false">V8*Y8</f>
        <v>1568</v>
      </c>
      <c r="X8" s="30" t="n">
        <f aca="false">W8/1.1</f>
        <v>1425.45454545455</v>
      </c>
      <c r="Y8" s="33" t="n">
        <v>14</v>
      </c>
      <c r="Z8" s="34"/>
      <c r="AA8" s="35"/>
      <c r="AB8" s="30" t="n">
        <f aca="false">+S8+N8+H8+X8</f>
        <v>38392.7272727273</v>
      </c>
      <c r="AC8" s="36" t="n">
        <f aca="false">+AB8/$AB$20</f>
        <v>0.0999479339234155</v>
      </c>
      <c r="AD8" s="37" t="n">
        <v>0.5</v>
      </c>
      <c r="AE8" s="38" t="s">
        <v>23</v>
      </c>
      <c r="AF8" s="36" t="n">
        <v>0.7</v>
      </c>
      <c r="AG8" s="36" t="n">
        <v>0.6</v>
      </c>
      <c r="AH8" s="36" t="n">
        <v>0.6</v>
      </c>
      <c r="AK8" s="39" t="n">
        <f aca="false">B8</f>
        <v>46204</v>
      </c>
      <c r="AL8" s="40" t="n">
        <f aca="false">+AB8/$AB$20</f>
        <v>0.0999479339234155</v>
      </c>
    </row>
    <row r="9" s="20" customFormat="true" ht="15" hidden="false" customHeight="true" outlineLevel="0" collapsed="false">
      <c r="B9" s="21" t="n">
        <v>46235</v>
      </c>
      <c r="C9" s="22" t="n">
        <v>12</v>
      </c>
      <c r="D9" s="22" t="n">
        <v>22</v>
      </c>
      <c r="E9" s="41" t="n">
        <v>26</v>
      </c>
      <c r="F9" s="42" t="n">
        <f aca="false">D9*E9</f>
        <v>572</v>
      </c>
      <c r="G9" s="27" t="n">
        <f aca="false">F9*C9</f>
        <v>6864</v>
      </c>
      <c r="H9" s="27" t="n">
        <f aca="false">G9/1.1</f>
        <v>6240</v>
      </c>
      <c r="I9" s="22" t="n">
        <v>11</v>
      </c>
      <c r="J9" s="22" t="n">
        <v>18</v>
      </c>
      <c r="K9" s="41" t="n">
        <v>52</v>
      </c>
      <c r="L9" s="42" t="n">
        <f aca="false">J9*K9</f>
        <v>936</v>
      </c>
      <c r="M9" s="27" t="n">
        <f aca="false">I9*L9</f>
        <v>10296</v>
      </c>
      <c r="N9" s="27" t="n">
        <f aca="false">M9/1.1</f>
        <v>9360</v>
      </c>
      <c r="O9" s="28" t="n">
        <f aca="false">ROUND(20*AD9,0)</f>
        <v>13</v>
      </c>
      <c r="P9" s="29" t="n">
        <f aca="false">E9</f>
        <v>26</v>
      </c>
      <c r="Q9" s="30" t="n">
        <f aca="false">O9*P9</f>
        <v>338</v>
      </c>
      <c r="R9" s="30" t="n">
        <f aca="false">Q9*C9</f>
        <v>4056</v>
      </c>
      <c r="S9" s="30" t="n">
        <f aca="false">R9/1.1</f>
        <v>3687.27272727273</v>
      </c>
      <c r="T9" s="31" t="n">
        <v>7</v>
      </c>
      <c r="U9" s="32" t="n">
        <v>16</v>
      </c>
      <c r="V9" s="27" t="n">
        <f aca="false">T9*U9</f>
        <v>112</v>
      </c>
      <c r="W9" s="30" t="n">
        <f aca="false">V9*Y9</f>
        <v>784</v>
      </c>
      <c r="X9" s="30" t="n">
        <f aca="false">W9/1.1</f>
        <v>712.727272727273</v>
      </c>
      <c r="Y9" s="33" t="n">
        <v>7</v>
      </c>
      <c r="Z9" s="34"/>
      <c r="AA9" s="35"/>
      <c r="AB9" s="30" t="n">
        <f aca="false">+S9+N9+H9+X9</f>
        <v>20000</v>
      </c>
      <c r="AC9" s="36" t="n">
        <f aca="false">+AB9/$AB$20</f>
        <v>0.0520660765844654</v>
      </c>
      <c r="AD9" s="37" t="n">
        <v>0.65</v>
      </c>
      <c r="AK9" s="39" t="n">
        <f aca="false">B9</f>
        <v>46235</v>
      </c>
      <c r="AL9" s="40" t="n">
        <f aca="false">+AB9/$AB$20</f>
        <v>0.0520660765844654</v>
      </c>
    </row>
    <row r="10" s="20" customFormat="true" ht="15" hidden="false" customHeight="true" outlineLevel="0" collapsed="false">
      <c r="B10" s="21" t="n">
        <v>46266</v>
      </c>
      <c r="C10" s="22" t="n">
        <v>21</v>
      </c>
      <c r="D10" s="22" t="n">
        <v>24</v>
      </c>
      <c r="E10" s="41" t="n">
        <v>26</v>
      </c>
      <c r="F10" s="42" t="n">
        <f aca="false">D10*E10</f>
        <v>624</v>
      </c>
      <c r="G10" s="27" t="n">
        <f aca="false">F10*C10</f>
        <v>13104</v>
      </c>
      <c r="H10" s="27" t="n">
        <f aca="false">G10/1.1</f>
        <v>11912.7272727273</v>
      </c>
      <c r="I10" s="22" t="n">
        <v>22</v>
      </c>
      <c r="J10" s="22" t="n">
        <v>19</v>
      </c>
      <c r="K10" s="41" t="n">
        <v>52</v>
      </c>
      <c r="L10" s="42" t="n">
        <f aca="false">J10*K10</f>
        <v>988</v>
      </c>
      <c r="M10" s="27" t="n">
        <f aca="false">I10*L10</f>
        <v>21736</v>
      </c>
      <c r="N10" s="27" t="n">
        <f aca="false">M10/1.1</f>
        <v>19760</v>
      </c>
      <c r="O10" s="28" t="n">
        <f aca="false">ROUND(20*AD10,0)</f>
        <v>8</v>
      </c>
      <c r="P10" s="29" t="n">
        <f aca="false">E10</f>
        <v>26</v>
      </c>
      <c r="Q10" s="30" t="n">
        <f aca="false">O10*P10</f>
        <v>208</v>
      </c>
      <c r="R10" s="30" t="n">
        <f aca="false">Q10*C10</f>
        <v>4368</v>
      </c>
      <c r="S10" s="30" t="n">
        <f aca="false">R10/1.1</f>
        <v>3970.90909090909</v>
      </c>
      <c r="T10" s="31" t="n">
        <v>7</v>
      </c>
      <c r="U10" s="32" t="n">
        <v>16</v>
      </c>
      <c r="V10" s="27" t="n">
        <f aca="false">T10*U10</f>
        <v>112</v>
      </c>
      <c r="W10" s="30" t="n">
        <f aca="false">V10*Y10</f>
        <v>1344</v>
      </c>
      <c r="X10" s="30" t="n">
        <f aca="false">W10/1.1</f>
        <v>1221.81818181818</v>
      </c>
      <c r="Y10" s="33" t="n">
        <v>12</v>
      </c>
      <c r="Z10" s="34"/>
      <c r="AA10" s="35"/>
      <c r="AB10" s="30" t="n">
        <f aca="false">+S10+N10+H10+X10</f>
        <v>36865.4545454546</v>
      </c>
      <c r="AC10" s="36" t="n">
        <f aca="false">+AB10/$AB$20</f>
        <v>0.0959719789842382</v>
      </c>
      <c r="AD10" s="37" t="n">
        <v>0.4</v>
      </c>
      <c r="AK10" s="39" t="n">
        <f aca="false">B10</f>
        <v>46266</v>
      </c>
      <c r="AL10" s="40" t="n">
        <f aca="false">+AB10/$AB$20</f>
        <v>0.0959719789842382</v>
      </c>
    </row>
    <row r="11" s="20" customFormat="true" ht="15" hidden="false" customHeight="true" outlineLevel="0" collapsed="false">
      <c r="B11" s="21" t="n">
        <v>46296</v>
      </c>
      <c r="C11" s="22" t="n">
        <v>23</v>
      </c>
      <c r="D11" s="22" t="n">
        <v>24</v>
      </c>
      <c r="E11" s="41" t="n">
        <v>26</v>
      </c>
      <c r="F11" s="42" t="n">
        <f aca="false">D11*E11</f>
        <v>624</v>
      </c>
      <c r="G11" s="27" t="n">
        <f aca="false">F11*C11</f>
        <v>14352</v>
      </c>
      <c r="H11" s="27" t="n">
        <f aca="false">G11/1.1</f>
        <v>13047.2727272727</v>
      </c>
      <c r="I11" s="22" t="n">
        <v>23</v>
      </c>
      <c r="J11" s="22" t="n">
        <v>20</v>
      </c>
      <c r="K11" s="41" t="n">
        <v>52</v>
      </c>
      <c r="L11" s="42" t="n">
        <f aca="false">J11*K11</f>
        <v>1040</v>
      </c>
      <c r="M11" s="27" t="n">
        <f aca="false">I11*L11</f>
        <v>23920</v>
      </c>
      <c r="N11" s="27" t="n">
        <f aca="false">M11/1.1</f>
        <v>21745.4545454545</v>
      </c>
      <c r="O11" s="28" t="n">
        <f aca="false">ROUND(20*AD11,0)</f>
        <v>0</v>
      </c>
      <c r="P11" s="29" t="n">
        <f aca="false">E11</f>
        <v>26</v>
      </c>
      <c r="Q11" s="30" t="n">
        <f aca="false">O11*P11</f>
        <v>0</v>
      </c>
      <c r="R11" s="30" t="n">
        <f aca="false">Q11*C11</f>
        <v>0</v>
      </c>
      <c r="S11" s="30" t="n">
        <f aca="false">R11/1.1</f>
        <v>0</v>
      </c>
      <c r="T11" s="31" t="n">
        <v>0</v>
      </c>
      <c r="U11" s="32" t="n">
        <v>16</v>
      </c>
      <c r="V11" s="27" t="n">
        <f aca="false">T11*U11</f>
        <v>0</v>
      </c>
      <c r="W11" s="30" t="n">
        <f aca="false">V11*Y11</f>
        <v>0</v>
      </c>
      <c r="X11" s="30" t="n">
        <f aca="false">W11/1.1</f>
        <v>0</v>
      </c>
      <c r="Y11" s="33" t="n">
        <v>15</v>
      </c>
      <c r="Z11" s="34"/>
      <c r="AA11" s="35"/>
      <c r="AB11" s="30" t="n">
        <f aca="false">+S11+N11+H11+X11</f>
        <v>34792.7272727273</v>
      </c>
      <c r="AC11" s="36" t="n">
        <f aca="false">+AB11/$AB$20</f>
        <v>0.0905760401382118</v>
      </c>
      <c r="AD11" s="43"/>
      <c r="AK11" s="39" t="n">
        <f aca="false">B11</f>
        <v>46296</v>
      </c>
      <c r="AL11" s="40" t="n">
        <f aca="false">+AB11/$AB$20</f>
        <v>0.0905760401382118</v>
      </c>
    </row>
    <row r="12" s="20" customFormat="true" ht="15" hidden="false" customHeight="true" outlineLevel="0" collapsed="false">
      <c r="B12" s="21" t="n">
        <v>46327</v>
      </c>
      <c r="C12" s="22" t="n">
        <v>21</v>
      </c>
      <c r="D12" s="22" t="n">
        <v>24</v>
      </c>
      <c r="E12" s="41" t="n">
        <v>26</v>
      </c>
      <c r="F12" s="42" t="n">
        <f aca="false">D12*E12</f>
        <v>624</v>
      </c>
      <c r="G12" s="27" t="n">
        <f aca="false">F12*C12</f>
        <v>13104</v>
      </c>
      <c r="H12" s="27" t="n">
        <f aca="false">G12/1.1</f>
        <v>11912.7272727273</v>
      </c>
      <c r="I12" s="22" t="n">
        <v>20</v>
      </c>
      <c r="J12" s="22" t="n">
        <v>20</v>
      </c>
      <c r="K12" s="41" t="n">
        <v>52</v>
      </c>
      <c r="L12" s="42" t="n">
        <f aca="false">J12*K12</f>
        <v>1040</v>
      </c>
      <c r="M12" s="27" t="n">
        <f aca="false">I12*L12</f>
        <v>20800</v>
      </c>
      <c r="N12" s="27" t="n">
        <f aca="false">M12/1.1</f>
        <v>18909.0909090909</v>
      </c>
      <c r="O12" s="28" t="n">
        <f aca="false">ROUND(20*AD12,0)</f>
        <v>0</v>
      </c>
      <c r="P12" s="29" t="n">
        <f aca="false">E12</f>
        <v>26</v>
      </c>
      <c r="Q12" s="30" t="n">
        <f aca="false">O12*P12</f>
        <v>0</v>
      </c>
      <c r="R12" s="30" t="n">
        <f aca="false">Q12*C12</f>
        <v>0</v>
      </c>
      <c r="S12" s="30" t="n">
        <f aca="false">R12/1.1</f>
        <v>0</v>
      </c>
      <c r="T12" s="31" t="n">
        <v>0</v>
      </c>
      <c r="U12" s="32" t="n">
        <v>16</v>
      </c>
      <c r="V12" s="27" t="n">
        <f aca="false">T12*U12</f>
        <v>0</v>
      </c>
      <c r="W12" s="30" t="n">
        <f aca="false">V12*Y12</f>
        <v>0</v>
      </c>
      <c r="X12" s="30" t="n">
        <f aca="false">W12/1.1</f>
        <v>0</v>
      </c>
      <c r="Y12" s="33" t="n">
        <v>12</v>
      </c>
      <c r="Z12" s="34"/>
      <c r="AA12" s="35"/>
      <c r="AB12" s="30" t="n">
        <f aca="false">+S12+N12+H12+X12</f>
        <v>30821.8181818182</v>
      </c>
      <c r="AC12" s="36" t="n">
        <f aca="false">+AB12/$AB$20</f>
        <v>0.0802385572963506</v>
      </c>
      <c r="AD12" s="43"/>
      <c r="AK12" s="39" t="n">
        <f aca="false">B12</f>
        <v>46327</v>
      </c>
      <c r="AL12" s="40" t="n">
        <f aca="false">+AB12/$AB$20</f>
        <v>0.0802385572963506</v>
      </c>
    </row>
    <row r="13" s="20" customFormat="true" ht="15" hidden="false" customHeight="true" outlineLevel="0" collapsed="false">
      <c r="B13" s="21" t="n">
        <v>46357</v>
      </c>
      <c r="C13" s="22" t="n">
        <v>15</v>
      </c>
      <c r="D13" s="22" t="n">
        <v>26</v>
      </c>
      <c r="E13" s="41" t="n">
        <v>26</v>
      </c>
      <c r="F13" s="42" t="n">
        <f aca="false">D13*E13</f>
        <v>676</v>
      </c>
      <c r="G13" s="27" t="n">
        <f aca="false">F13*C13</f>
        <v>10140</v>
      </c>
      <c r="H13" s="27" t="n">
        <f aca="false">G13/1.1</f>
        <v>9218.18181818182</v>
      </c>
      <c r="I13" s="22" t="n">
        <v>16</v>
      </c>
      <c r="J13" s="22" t="n">
        <v>24</v>
      </c>
      <c r="K13" s="41" t="n">
        <v>52</v>
      </c>
      <c r="L13" s="42" t="n">
        <f aca="false">J13*K13</f>
        <v>1248</v>
      </c>
      <c r="M13" s="27" t="n">
        <f aca="false">I13*L13</f>
        <v>19968</v>
      </c>
      <c r="N13" s="27" t="n">
        <f aca="false">M13/1.1</f>
        <v>18152.7272727273</v>
      </c>
      <c r="O13" s="28" t="n">
        <f aca="false">ROUND(20*AD13,0)</f>
        <v>0</v>
      </c>
      <c r="P13" s="29" t="n">
        <f aca="false">E13</f>
        <v>26</v>
      </c>
      <c r="Q13" s="30" t="n">
        <f aca="false">O13*P13</f>
        <v>0</v>
      </c>
      <c r="R13" s="30" t="n">
        <f aca="false">Q13*C13</f>
        <v>0</v>
      </c>
      <c r="S13" s="30" t="n">
        <f aca="false">R13/1.1</f>
        <v>0</v>
      </c>
      <c r="T13" s="31" t="n">
        <v>0</v>
      </c>
      <c r="U13" s="32" t="n">
        <v>16</v>
      </c>
      <c r="V13" s="27" t="n">
        <f aca="false">T13*U13</f>
        <v>0</v>
      </c>
      <c r="W13" s="30" t="n">
        <f aca="false">V13*Y13</f>
        <v>0</v>
      </c>
      <c r="X13" s="30" t="n">
        <f aca="false">W13/1.1</f>
        <v>0</v>
      </c>
      <c r="Y13" s="33" t="n">
        <v>9</v>
      </c>
      <c r="Z13" s="34"/>
      <c r="AA13" s="35"/>
      <c r="AB13" s="30" t="n">
        <f aca="false">+S13+N13+H13+X13</f>
        <v>27370.9090909091</v>
      </c>
      <c r="AC13" s="36" t="n">
        <f aca="false">+AB13/$AB$20</f>
        <v>0.0712547924456856</v>
      </c>
      <c r="AD13" s="43"/>
      <c r="AK13" s="39" t="n">
        <f aca="false">B13</f>
        <v>46357</v>
      </c>
      <c r="AL13" s="40" t="n">
        <f aca="false">+AB13/$AB$20</f>
        <v>0.0712547924456856</v>
      </c>
    </row>
    <row r="14" s="20" customFormat="true" ht="15" hidden="false" customHeight="true" outlineLevel="0" collapsed="false">
      <c r="B14" s="21" t="n">
        <v>46388</v>
      </c>
      <c r="C14" s="22" t="n">
        <v>22</v>
      </c>
      <c r="D14" s="22" t="n">
        <v>22</v>
      </c>
      <c r="E14" s="41" t="n">
        <v>26</v>
      </c>
      <c r="F14" s="42" t="n">
        <f aca="false">D14*E14</f>
        <v>572</v>
      </c>
      <c r="G14" s="27" t="n">
        <f aca="false">F14*C14</f>
        <v>12584</v>
      </c>
      <c r="H14" s="27" t="n">
        <f aca="false">G14/1.1</f>
        <v>11440</v>
      </c>
      <c r="I14" s="22" t="n">
        <v>21</v>
      </c>
      <c r="J14" s="22" t="n">
        <v>17</v>
      </c>
      <c r="K14" s="41" t="n">
        <v>52</v>
      </c>
      <c r="L14" s="42" t="n">
        <f aca="false">J14*K14</f>
        <v>884</v>
      </c>
      <c r="M14" s="27" t="n">
        <f aca="false">I14*L14</f>
        <v>18564</v>
      </c>
      <c r="N14" s="27" t="n">
        <f aca="false">M14/1.1</f>
        <v>16876.3636363636</v>
      </c>
      <c r="O14" s="28" t="n">
        <f aca="false">ROUND(20*AD14,0)</f>
        <v>0</v>
      </c>
      <c r="P14" s="29" t="n">
        <f aca="false">E14</f>
        <v>26</v>
      </c>
      <c r="Q14" s="30" t="n">
        <f aca="false">O14*P14</f>
        <v>0</v>
      </c>
      <c r="R14" s="30" t="n">
        <f aca="false">Q14*C14</f>
        <v>0</v>
      </c>
      <c r="S14" s="30" t="n">
        <f aca="false">R14/1.1</f>
        <v>0</v>
      </c>
      <c r="T14" s="31" t="n">
        <v>0</v>
      </c>
      <c r="U14" s="32" t="n">
        <v>16</v>
      </c>
      <c r="V14" s="27" t="n">
        <f aca="false">T14*U14</f>
        <v>0</v>
      </c>
      <c r="W14" s="30" t="n">
        <f aca="false">V14*Y14</f>
        <v>0</v>
      </c>
      <c r="X14" s="30" t="n">
        <f aca="false">W14/1.1</f>
        <v>0</v>
      </c>
      <c r="Y14" s="33" t="n">
        <v>13</v>
      </c>
      <c r="Z14" s="34"/>
      <c r="AA14" s="35"/>
      <c r="AB14" s="30" t="n">
        <f aca="false">+S14+N14+H14+X14</f>
        <v>28316.3636363636</v>
      </c>
      <c r="AC14" s="36" t="n">
        <f aca="false">+AB14/$AB$20</f>
        <v>0.073716097884224</v>
      </c>
      <c r="AD14" s="43"/>
      <c r="AK14" s="39" t="n">
        <f aca="false">B14</f>
        <v>46388</v>
      </c>
      <c r="AL14" s="40" t="n">
        <f aca="false">+AB14/$AB$20</f>
        <v>0.073716097884224</v>
      </c>
    </row>
    <row r="15" s="20" customFormat="true" ht="15" hidden="false" customHeight="true" outlineLevel="0" collapsed="false">
      <c r="B15" s="21" t="n">
        <v>46419</v>
      </c>
      <c r="C15" s="22" t="n">
        <v>15</v>
      </c>
      <c r="D15" s="22" t="n">
        <v>24</v>
      </c>
      <c r="E15" s="41" t="n">
        <v>26</v>
      </c>
      <c r="F15" s="42" t="n">
        <f aca="false">D15*E15</f>
        <v>624</v>
      </c>
      <c r="G15" s="27" t="n">
        <f aca="false">F15*C15</f>
        <v>9360</v>
      </c>
      <c r="H15" s="27" t="n">
        <f aca="false">G15/1.1</f>
        <v>8509.09090909091</v>
      </c>
      <c r="I15" s="22" t="n">
        <v>15</v>
      </c>
      <c r="J15" s="22" t="n">
        <v>18</v>
      </c>
      <c r="K15" s="41" t="n">
        <v>52</v>
      </c>
      <c r="L15" s="42" t="n">
        <f aca="false">J15*K15</f>
        <v>936</v>
      </c>
      <c r="M15" s="27" t="n">
        <f aca="false">I15*L15</f>
        <v>14040</v>
      </c>
      <c r="N15" s="27" t="n">
        <f aca="false">M15/1.1</f>
        <v>12763.6363636364</v>
      </c>
      <c r="O15" s="28" t="n">
        <f aca="false">ROUND(20*AD15,0)</f>
        <v>0</v>
      </c>
      <c r="P15" s="29" t="n">
        <f aca="false">E15</f>
        <v>26</v>
      </c>
      <c r="Q15" s="30" t="n">
        <f aca="false">O15*P15</f>
        <v>0</v>
      </c>
      <c r="R15" s="30" t="n">
        <f aca="false">Q15*C15</f>
        <v>0</v>
      </c>
      <c r="S15" s="30" t="n">
        <f aca="false">R15/1.1</f>
        <v>0</v>
      </c>
      <c r="T15" s="31" t="n">
        <v>0</v>
      </c>
      <c r="U15" s="32" t="n">
        <v>16</v>
      </c>
      <c r="V15" s="27" t="n">
        <f aca="false">T15*U15</f>
        <v>0</v>
      </c>
      <c r="W15" s="30" t="n">
        <f aca="false">V15*Y15</f>
        <v>0</v>
      </c>
      <c r="X15" s="30" t="n">
        <f aca="false">W15/1.1</f>
        <v>0</v>
      </c>
      <c r="Y15" s="33" t="n">
        <v>9</v>
      </c>
      <c r="Z15" s="34"/>
      <c r="AA15" s="35"/>
      <c r="AB15" s="30" t="n">
        <f aca="false">+S15+N15+H15+X15</f>
        <v>21272.7272727273</v>
      </c>
      <c r="AC15" s="36" t="n">
        <f aca="false">+AB15/$AB$20</f>
        <v>0.0553793723671132</v>
      </c>
      <c r="AD15" s="43"/>
      <c r="AK15" s="39" t="n">
        <f aca="false">B15</f>
        <v>46419</v>
      </c>
      <c r="AL15" s="40" t="n">
        <f aca="false">+AB15/$AB$20</f>
        <v>0.0553793723671132</v>
      </c>
    </row>
    <row r="16" s="20" customFormat="true" ht="15" hidden="false" customHeight="true" outlineLevel="0" collapsed="false">
      <c r="B16" s="21" t="n">
        <v>46447</v>
      </c>
      <c r="C16" s="22" t="n">
        <v>21</v>
      </c>
      <c r="D16" s="22" t="n">
        <v>24</v>
      </c>
      <c r="E16" s="41" t="n">
        <v>26</v>
      </c>
      <c r="F16" s="42" t="n">
        <f aca="false">D16*E16</f>
        <v>624</v>
      </c>
      <c r="G16" s="27" t="n">
        <f aca="false">F16*C16</f>
        <v>13104</v>
      </c>
      <c r="H16" s="27" t="n">
        <f aca="false">G16/1.1</f>
        <v>11912.7272727273</v>
      </c>
      <c r="I16" s="22" t="n">
        <v>22</v>
      </c>
      <c r="J16" s="22" t="n">
        <v>19</v>
      </c>
      <c r="K16" s="41" t="n">
        <v>52</v>
      </c>
      <c r="L16" s="42" t="n">
        <f aca="false">J16*K16</f>
        <v>988</v>
      </c>
      <c r="M16" s="27" t="n">
        <f aca="false">I16*L16</f>
        <v>21736</v>
      </c>
      <c r="N16" s="27" t="n">
        <f aca="false">M16/1.1</f>
        <v>19760</v>
      </c>
      <c r="O16" s="28" t="n">
        <f aca="false">ROUND(20*AD16,0)</f>
        <v>8</v>
      </c>
      <c r="P16" s="29" t="n">
        <f aca="false">E16</f>
        <v>26</v>
      </c>
      <c r="Q16" s="30" t="n">
        <f aca="false">O16*P16</f>
        <v>208</v>
      </c>
      <c r="R16" s="30" t="n">
        <f aca="false">Q16*C16</f>
        <v>4368</v>
      </c>
      <c r="S16" s="30" t="n">
        <f aca="false">R16/1.1</f>
        <v>3970.90909090909</v>
      </c>
      <c r="T16" s="31" t="n">
        <v>0</v>
      </c>
      <c r="U16" s="32" t="n">
        <v>16</v>
      </c>
      <c r="V16" s="27" t="n">
        <f aca="false">T16*U16</f>
        <v>0</v>
      </c>
      <c r="W16" s="30" t="n">
        <f aca="false">V16*Y16</f>
        <v>0</v>
      </c>
      <c r="X16" s="30" t="n">
        <f aca="false">W16/1.1</f>
        <v>0</v>
      </c>
      <c r="Y16" s="33" t="n">
        <v>12</v>
      </c>
      <c r="Z16" s="34"/>
      <c r="AA16" s="35"/>
      <c r="AB16" s="30" t="n">
        <f aca="false">+S16+N16+H16+X16</f>
        <v>35643.6363636364</v>
      </c>
      <c r="AC16" s="36" t="n">
        <f aca="false">+AB16/$AB$20</f>
        <v>0.0927912150328963</v>
      </c>
      <c r="AD16" s="37" t="n">
        <v>0.4</v>
      </c>
      <c r="AK16" s="39" t="n">
        <f aca="false">B16</f>
        <v>46447</v>
      </c>
      <c r="AL16" s="40" t="n">
        <f aca="false">+AB16/$AB$20</f>
        <v>0.0927912150328963</v>
      </c>
    </row>
    <row r="17" s="20" customFormat="true" ht="15" hidden="false" customHeight="true" outlineLevel="0" collapsed="false">
      <c r="B17" s="21" t="n">
        <v>46478</v>
      </c>
      <c r="C17" s="22" t="n">
        <v>22</v>
      </c>
      <c r="D17" s="22" t="n">
        <v>25</v>
      </c>
      <c r="E17" s="41" t="n">
        <v>26</v>
      </c>
      <c r="F17" s="42" t="n">
        <f aca="false">D17*E17</f>
        <v>650</v>
      </c>
      <c r="G17" s="27" t="n">
        <f aca="false">F17*C17</f>
        <v>14300</v>
      </c>
      <c r="H17" s="27" t="n">
        <f aca="false">G17/1.1</f>
        <v>13000</v>
      </c>
      <c r="I17" s="22" t="n">
        <v>22</v>
      </c>
      <c r="J17" s="22" t="n">
        <v>20</v>
      </c>
      <c r="K17" s="41" t="n">
        <v>52</v>
      </c>
      <c r="L17" s="42" t="n">
        <f aca="false">J17*K17</f>
        <v>1040</v>
      </c>
      <c r="M17" s="27" t="n">
        <f aca="false">I17*L17</f>
        <v>22880</v>
      </c>
      <c r="N17" s="27" t="n">
        <f aca="false">M17/1.1</f>
        <v>20800</v>
      </c>
      <c r="O17" s="28" t="n">
        <f aca="false">ROUND(20*AD17,0)</f>
        <v>9</v>
      </c>
      <c r="P17" s="29" t="n">
        <f aca="false">E17</f>
        <v>26</v>
      </c>
      <c r="Q17" s="30" t="n">
        <f aca="false">O17*P17</f>
        <v>234</v>
      </c>
      <c r="R17" s="30" t="n">
        <f aca="false">Q17*C17</f>
        <v>5148</v>
      </c>
      <c r="S17" s="30" t="n">
        <f aca="false">R17/1.1</f>
        <v>4680</v>
      </c>
      <c r="T17" s="31" t="n">
        <v>0</v>
      </c>
      <c r="U17" s="32" t="n">
        <v>16</v>
      </c>
      <c r="V17" s="27" t="n">
        <f aca="false">T17*U17</f>
        <v>0</v>
      </c>
      <c r="W17" s="30" t="n">
        <f aca="false">V17*Y17</f>
        <v>0</v>
      </c>
      <c r="X17" s="30" t="n">
        <f aca="false">W17/1.1</f>
        <v>0</v>
      </c>
      <c r="Y17" s="33" t="n">
        <v>14</v>
      </c>
      <c r="Z17" s="34"/>
      <c r="AA17" s="35"/>
      <c r="AB17" s="30" t="n">
        <f aca="false">+S17+N17+H17+X17</f>
        <v>38480</v>
      </c>
      <c r="AC17" s="36" t="n">
        <f aca="false">+AB17/$AB$20</f>
        <v>0.100175131348511</v>
      </c>
      <c r="AD17" s="37" t="n">
        <v>0.45</v>
      </c>
      <c r="AK17" s="39" t="n">
        <f aca="false">B17</f>
        <v>46478</v>
      </c>
      <c r="AL17" s="40" t="n">
        <f aca="false">+AB17/$AB$20</f>
        <v>0.100175131348511</v>
      </c>
    </row>
    <row r="18" s="20" customFormat="true" ht="15" hidden="false" customHeight="true" outlineLevel="0" collapsed="false">
      <c r="B18" s="21" t="n">
        <v>46508</v>
      </c>
      <c r="C18" s="22" t="n">
        <v>21</v>
      </c>
      <c r="D18" s="44" t="n">
        <v>26</v>
      </c>
      <c r="E18" s="41" t="n">
        <v>26</v>
      </c>
      <c r="F18" s="45" t="n">
        <f aca="false">D18*E18</f>
        <v>676</v>
      </c>
      <c r="G18" s="46" t="n">
        <f aca="false">F18*C18</f>
        <v>14196</v>
      </c>
      <c r="H18" s="46" t="n">
        <f aca="false">G18/1.1</f>
        <v>12905.4545454545</v>
      </c>
      <c r="I18" s="22" t="n">
        <v>20</v>
      </c>
      <c r="J18" s="44" t="n">
        <v>21</v>
      </c>
      <c r="K18" s="41" t="n">
        <v>52</v>
      </c>
      <c r="L18" s="45" t="n">
        <f aca="false">J18*K18</f>
        <v>1092</v>
      </c>
      <c r="M18" s="46" t="n">
        <f aca="false">I18*L18</f>
        <v>21840</v>
      </c>
      <c r="N18" s="27" t="n">
        <f aca="false">M18/1.1</f>
        <v>19854.5454545455</v>
      </c>
      <c r="O18" s="28" t="n">
        <f aca="false">ROUND(20*AD18,0)</f>
        <v>12</v>
      </c>
      <c r="P18" s="29" t="n">
        <f aca="false">E18</f>
        <v>26</v>
      </c>
      <c r="Q18" s="30" t="n">
        <f aca="false">O18*P18</f>
        <v>312</v>
      </c>
      <c r="R18" s="30" t="n">
        <f aca="false">Q18*C18</f>
        <v>6552</v>
      </c>
      <c r="S18" s="30" t="n">
        <f aca="false">R18/1.1</f>
        <v>5956.36363636364</v>
      </c>
      <c r="T18" s="31" t="n">
        <v>7</v>
      </c>
      <c r="U18" s="32" t="n">
        <v>16</v>
      </c>
      <c r="V18" s="27" t="n">
        <f aca="false">T18*U18</f>
        <v>112</v>
      </c>
      <c r="W18" s="30" t="n">
        <f aca="false">V18*Y18</f>
        <v>1344</v>
      </c>
      <c r="X18" s="30" t="n">
        <f aca="false">W18/1.1</f>
        <v>1221.81818181818</v>
      </c>
      <c r="Y18" s="33" t="n">
        <v>12</v>
      </c>
      <c r="Z18" s="34"/>
      <c r="AA18" s="35"/>
      <c r="AB18" s="30" t="n">
        <f aca="false">+S18+N18+H18+X18</f>
        <v>39938.1818181818</v>
      </c>
      <c r="AC18" s="36" t="n">
        <f aca="false">+AB18/$AB$20</f>
        <v>0.103971221659488</v>
      </c>
      <c r="AD18" s="37" t="n">
        <v>0.6</v>
      </c>
      <c r="AK18" s="39" t="n">
        <f aca="false">B18</f>
        <v>46508</v>
      </c>
      <c r="AL18" s="40" t="n">
        <f aca="false">+AB18/$AB$20</f>
        <v>0.103971221659488</v>
      </c>
    </row>
    <row r="19" s="20" customFormat="true" ht="15" hidden="true" customHeight="true" outlineLevel="0" collapsed="false">
      <c r="B19" s="21"/>
      <c r="C19" s="35"/>
      <c r="D19" s="47"/>
      <c r="E19" s="48"/>
      <c r="F19" s="48"/>
      <c r="G19" s="49"/>
      <c r="H19" s="49"/>
      <c r="I19" s="35"/>
      <c r="J19" s="50"/>
      <c r="K19" s="48"/>
      <c r="L19" s="48"/>
      <c r="M19" s="49"/>
      <c r="N19" s="49"/>
      <c r="O19" s="51"/>
      <c r="P19" s="49"/>
      <c r="Q19" s="48"/>
      <c r="R19" s="48"/>
      <c r="S19" s="48"/>
      <c r="T19" s="51"/>
      <c r="U19" s="51"/>
      <c r="V19" s="49"/>
      <c r="W19" s="48"/>
      <c r="X19" s="48"/>
      <c r="Y19" s="35"/>
      <c r="Z19" s="48"/>
      <c r="AA19" s="35"/>
      <c r="AB19" s="35"/>
      <c r="AD19" s="52"/>
      <c r="AL19" s="36"/>
    </row>
    <row r="20" s="53" customFormat="true" ht="15" hidden="false" customHeight="true" outlineLevel="0" collapsed="false">
      <c r="B20" s="54" t="s">
        <v>24</v>
      </c>
      <c r="C20" s="55" t="n">
        <f aca="false">SUM(C7:C18)</f>
        <v>236</v>
      </c>
      <c r="D20" s="56"/>
      <c r="E20" s="57"/>
      <c r="F20" s="58"/>
      <c r="G20" s="59" t="n">
        <f aca="false">SUM(G7:G18)</f>
        <v>144664</v>
      </c>
      <c r="H20" s="59" t="n">
        <f aca="false">SUM(H7:H18)</f>
        <v>131512.727272727</v>
      </c>
      <c r="I20" s="55" t="n">
        <f aca="false">SUM(I7:I18)</f>
        <v>236</v>
      </c>
      <c r="J20" s="56"/>
      <c r="K20" s="57"/>
      <c r="L20" s="58"/>
      <c r="M20" s="59" t="n">
        <f aca="false">SUM(M7:M18)</f>
        <v>234780</v>
      </c>
      <c r="N20" s="59" t="n">
        <f aca="false">SUM(N7:N18)</f>
        <v>213436.363636364</v>
      </c>
      <c r="O20" s="60"/>
      <c r="P20" s="57"/>
      <c r="Q20" s="58"/>
      <c r="R20" s="61" t="n">
        <f aca="false">SUM(R7:R18)</f>
        <v>36712</v>
      </c>
      <c r="S20" s="61" t="n">
        <f aca="false">SUM(S7:S18)</f>
        <v>33374.5454545455</v>
      </c>
      <c r="T20" s="60"/>
      <c r="U20" s="60"/>
      <c r="V20" s="57"/>
      <c r="W20" s="61" t="n">
        <f aca="false">SUM(W7:W18)</f>
        <v>6384</v>
      </c>
      <c r="X20" s="61" t="n">
        <f aca="false">SUM(X7:X18)</f>
        <v>5803.63636363636</v>
      </c>
      <c r="Y20" s="62"/>
      <c r="Z20" s="63"/>
      <c r="AA20" s="62"/>
      <c r="AB20" s="64" t="n">
        <f aca="false">SUM(AB7:AB18)</f>
        <v>384127.272727273</v>
      </c>
      <c r="AD20" s="63"/>
      <c r="AO20" s="65" t="n">
        <f aca="false">AB20/48</f>
        <v>8002.65151515152</v>
      </c>
    </row>
    <row r="21" customFormat="false" ht="15" hidden="false" customHeight="true" outlineLevel="0" collapsed="false"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</row>
    <row r="22" s="67" customFormat="true" ht="20.25" hidden="false" customHeight="true" outlineLevel="0" collapsed="false">
      <c r="B22" s="5" t="s">
        <v>25</v>
      </c>
      <c r="C22" s="6" t="s">
        <v>3</v>
      </c>
      <c r="D22" s="68" t="s">
        <v>4</v>
      </c>
      <c r="E22" s="68"/>
      <c r="F22" s="68"/>
      <c r="G22" s="68"/>
      <c r="H22" s="68"/>
      <c r="I22" s="6" t="s">
        <v>5</v>
      </c>
      <c r="J22" s="69" t="s">
        <v>6</v>
      </c>
      <c r="K22" s="69"/>
      <c r="L22" s="69"/>
      <c r="M22" s="69"/>
      <c r="N22" s="69"/>
      <c r="O22" s="8" t="s">
        <v>7</v>
      </c>
      <c r="P22" s="8"/>
      <c r="Q22" s="8"/>
      <c r="R22" s="8"/>
      <c r="S22" s="8"/>
      <c r="T22" s="8" t="s">
        <v>8</v>
      </c>
      <c r="U22" s="8"/>
      <c r="V22" s="8"/>
      <c r="W22" s="8"/>
      <c r="X22" s="8"/>
      <c r="Y22" s="9"/>
      <c r="Z22" s="9"/>
      <c r="AA22" s="9"/>
      <c r="AB22" s="10" t="s">
        <v>9</v>
      </c>
    </row>
    <row r="23" customFormat="false" ht="37.5" hidden="false" customHeight="true" outlineLevel="0" collapsed="false">
      <c r="B23" s="5"/>
      <c r="C23" s="6"/>
      <c r="D23" s="14" t="s">
        <v>12</v>
      </c>
      <c r="E23" s="15" t="s">
        <v>13</v>
      </c>
      <c r="F23" s="15" t="s">
        <v>14</v>
      </c>
      <c r="G23" s="15" t="s">
        <v>15</v>
      </c>
      <c r="H23" s="15" t="s">
        <v>16</v>
      </c>
      <c r="I23" s="6"/>
      <c r="J23" s="14" t="s">
        <v>12</v>
      </c>
      <c r="K23" s="15" t="s">
        <v>13</v>
      </c>
      <c r="L23" s="15" t="s">
        <v>14</v>
      </c>
      <c r="M23" s="15" t="s">
        <v>15</v>
      </c>
      <c r="N23" s="15" t="s">
        <v>16</v>
      </c>
      <c r="O23" s="10" t="s">
        <v>12</v>
      </c>
      <c r="P23" s="16" t="s">
        <v>13</v>
      </c>
      <c r="Q23" s="16" t="s">
        <v>14</v>
      </c>
      <c r="R23" s="16" t="s">
        <v>15</v>
      </c>
      <c r="S23" s="10" t="s">
        <v>16</v>
      </c>
      <c r="T23" s="10" t="s">
        <v>12</v>
      </c>
      <c r="U23" s="16" t="s">
        <v>13</v>
      </c>
      <c r="V23" s="16" t="s">
        <v>14</v>
      </c>
      <c r="W23" s="16" t="s">
        <v>15</v>
      </c>
      <c r="X23" s="10" t="s">
        <v>16</v>
      </c>
      <c r="Y23" s="17" t="s">
        <v>17</v>
      </c>
      <c r="Z23" s="17"/>
      <c r="AA23" s="17"/>
      <c r="AB23" s="10"/>
      <c r="AD23" s="13" t="s">
        <v>18</v>
      </c>
    </row>
    <row r="24" customFormat="false" ht="15" hidden="false" customHeight="true" outlineLevel="0" collapsed="false">
      <c r="B24" s="21" t="n">
        <f aca="false">EDATE(B7,12)</f>
        <v>46539</v>
      </c>
      <c r="C24" s="22" t="n">
        <v>21</v>
      </c>
      <c r="D24" s="22" t="n">
        <v>26</v>
      </c>
      <c r="E24" s="70" t="n">
        <v>26.5</v>
      </c>
      <c r="F24" s="30" t="n">
        <f aca="false">D24*E24</f>
        <v>689</v>
      </c>
      <c r="G24" s="30" t="n">
        <f aca="false">F24*C24</f>
        <v>14469</v>
      </c>
      <c r="H24" s="30" t="n">
        <f aca="false">G24/1.1</f>
        <v>13153.6363636364</v>
      </c>
      <c r="I24" s="22" t="n">
        <v>22</v>
      </c>
      <c r="J24" s="22" t="n">
        <v>22</v>
      </c>
      <c r="K24" s="70" t="n">
        <v>53</v>
      </c>
      <c r="L24" s="30" t="n">
        <f aca="false">J24*K24</f>
        <v>1166</v>
      </c>
      <c r="M24" s="30" t="n">
        <f aca="false">I24*L24</f>
        <v>25652</v>
      </c>
      <c r="N24" s="30" t="n">
        <f aca="false">M24/1.1</f>
        <v>23320</v>
      </c>
      <c r="O24" s="28" t="n">
        <f aca="false">ROUND(20*AD24,0)</f>
        <v>13</v>
      </c>
      <c r="P24" s="29" t="n">
        <f aca="false">E24</f>
        <v>26.5</v>
      </c>
      <c r="Q24" s="30" t="n">
        <f aca="false">O24*P24</f>
        <v>344.5</v>
      </c>
      <c r="R24" s="30" t="n">
        <f aca="false">Q24*C24</f>
        <v>7234.5</v>
      </c>
      <c r="S24" s="30" t="n">
        <f aca="false">R24/1.1</f>
        <v>6576.81818181818</v>
      </c>
      <c r="T24" s="31" t="n">
        <v>8</v>
      </c>
      <c r="U24" s="32" t="n">
        <v>16.5</v>
      </c>
      <c r="V24" s="27" t="n">
        <f aca="false">T24*U24</f>
        <v>132</v>
      </c>
      <c r="W24" s="30" t="n">
        <f aca="false">V24*Y24</f>
        <v>1584</v>
      </c>
      <c r="X24" s="30" t="n">
        <f aca="false">W24/1.1</f>
        <v>1440</v>
      </c>
      <c r="Y24" s="33" t="n">
        <v>12</v>
      </c>
      <c r="Z24" s="34"/>
      <c r="AA24" s="35"/>
      <c r="AB24" s="30" t="n">
        <f aca="false">+S24+N24+H24+X24</f>
        <v>44490.4545454545</v>
      </c>
      <c r="AD24" s="71" t="n">
        <v>0.65</v>
      </c>
      <c r="AK24" s="39" t="n">
        <f aca="false">B24</f>
        <v>46539</v>
      </c>
      <c r="AL24" s="72" t="n">
        <f aca="false">+AB24/$AB$36</f>
        <v>0.0994444546043822</v>
      </c>
    </row>
    <row r="25" customFormat="false" ht="15" hidden="false" customHeight="true" outlineLevel="0" collapsed="false">
      <c r="B25" s="21" t="n">
        <f aca="false">EDATE(B8,12)</f>
        <v>46569</v>
      </c>
      <c r="C25" s="22" t="n">
        <v>23</v>
      </c>
      <c r="D25" s="22" t="n">
        <v>26</v>
      </c>
      <c r="E25" s="70" t="n">
        <v>26.5</v>
      </c>
      <c r="F25" s="30" t="n">
        <f aca="false">D25*E25</f>
        <v>689</v>
      </c>
      <c r="G25" s="30" t="n">
        <f aca="false">F25*C25</f>
        <v>15847</v>
      </c>
      <c r="H25" s="30" t="n">
        <f aca="false">G25/1.1</f>
        <v>14406.3636363636</v>
      </c>
      <c r="I25" s="22" t="n">
        <v>23</v>
      </c>
      <c r="J25" s="22" t="n">
        <v>22</v>
      </c>
      <c r="K25" s="70" t="n">
        <v>53</v>
      </c>
      <c r="L25" s="30" t="n">
        <f aca="false">J25*K25</f>
        <v>1166</v>
      </c>
      <c r="M25" s="30" t="n">
        <f aca="false">I25*L25</f>
        <v>26818</v>
      </c>
      <c r="N25" s="30" t="n">
        <f aca="false">M25/1.1</f>
        <v>24380</v>
      </c>
      <c r="O25" s="28" t="n">
        <f aca="false">ROUND(20*AD25,0)</f>
        <v>11</v>
      </c>
      <c r="P25" s="29" t="n">
        <f aca="false">E25</f>
        <v>26.5</v>
      </c>
      <c r="Q25" s="30" t="n">
        <f aca="false">O25*P25</f>
        <v>291.5</v>
      </c>
      <c r="R25" s="30" t="n">
        <f aca="false">Q25*C25</f>
        <v>6704.5</v>
      </c>
      <c r="S25" s="30" t="n">
        <f aca="false">R25/1.1</f>
        <v>6095</v>
      </c>
      <c r="T25" s="31" t="n">
        <v>8</v>
      </c>
      <c r="U25" s="32" t="n">
        <v>16.5</v>
      </c>
      <c r="V25" s="27" t="n">
        <f aca="false">T25*U25</f>
        <v>132</v>
      </c>
      <c r="W25" s="30" t="n">
        <f aca="false">V25*Y25</f>
        <v>1980</v>
      </c>
      <c r="X25" s="30" t="n">
        <f aca="false">W25/1.1</f>
        <v>1800</v>
      </c>
      <c r="Y25" s="33" t="n">
        <v>15</v>
      </c>
      <c r="Z25" s="34"/>
      <c r="AA25" s="35"/>
      <c r="AB25" s="30" t="n">
        <f aca="false">+S25+N25+H25+X25</f>
        <v>46681.3636363636</v>
      </c>
      <c r="AD25" s="71" t="n">
        <v>0.55</v>
      </c>
      <c r="AK25" s="39" t="n">
        <f aca="false">B25</f>
        <v>46569</v>
      </c>
      <c r="AL25" s="72" t="n">
        <f aca="false">+AB25/$AB$36</f>
        <v>0.104341544595015</v>
      </c>
    </row>
    <row r="26" customFormat="false" ht="15" hidden="false" customHeight="true" outlineLevel="0" collapsed="false">
      <c r="B26" s="21" t="n">
        <f aca="false">EDATE(B9,12)</f>
        <v>46600</v>
      </c>
      <c r="C26" s="22" t="n">
        <v>11</v>
      </c>
      <c r="D26" s="22" t="n">
        <v>26</v>
      </c>
      <c r="E26" s="70" t="n">
        <v>26.5</v>
      </c>
      <c r="F26" s="30" t="n">
        <f aca="false">D26*E26</f>
        <v>689</v>
      </c>
      <c r="G26" s="30" t="n">
        <f aca="false">F26*C26</f>
        <v>7579</v>
      </c>
      <c r="H26" s="30" t="n">
        <f aca="false">G26/1.1</f>
        <v>6890</v>
      </c>
      <c r="I26" s="22" t="n">
        <v>11</v>
      </c>
      <c r="J26" s="22" t="n">
        <v>22</v>
      </c>
      <c r="K26" s="70" t="n">
        <v>53</v>
      </c>
      <c r="L26" s="30" t="n">
        <f aca="false">J26*K26</f>
        <v>1166</v>
      </c>
      <c r="M26" s="30" t="n">
        <f aca="false">I26*L26</f>
        <v>12826</v>
      </c>
      <c r="N26" s="30" t="n">
        <f aca="false">M26/1.1</f>
        <v>11660</v>
      </c>
      <c r="O26" s="28" t="n">
        <f aca="false">ROUND(20*AD26,0)</f>
        <v>14</v>
      </c>
      <c r="P26" s="29" t="n">
        <f aca="false">E26</f>
        <v>26.5</v>
      </c>
      <c r="Q26" s="30" t="n">
        <f aca="false">O26*P26</f>
        <v>371</v>
      </c>
      <c r="R26" s="30" t="n">
        <f aca="false">Q26*C26</f>
        <v>4081</v>
      </c>
      <c r="S26" s="30" t="n">
        <f aca="false">R26/1.1</f>
        <v>3710</v>
      </c>
      <c r="T26" s="31" t="n">
        <v>8</v>
      </c>
      <c r="U26" s="32" t="n">
        <v>16.5</v>
      </c>
      <c r="V26" s="27" t="n">
        <f aca="false">T26*U26</f>
        <v>132</v>
      </c>
      <c r="W26" s="30" t="n">
        <f aca="false">V26*Y26</f>
        <v>792</v>
      </c>
      <c r="X26" s="30" t="n">
        <f aca="false">W26/1.1</f>
        <v>720</v>
      </c>
      <c r="Y26" s="33" t="n">
        <v>6</v>
      </c>
      <c r="Z26" s="34"/>
      <c r="AA26" s="35"/>
      <c r="AB26" s="30" t="n">
        <f aca="false">+S26+N26+H26+X26</f>
        <v>22980</v>
      </c>
      <c r="AD26" s="71" t="n">
        <v>0.7</v>
      </c>
      <c r="AK26" s="39" t="n">
        <f aca="false">B26</f>
        <v>46600</v>
      </c>
      <c r="AL26" s="72" t="n">
        <f aca="false">+AB26/$AB$36</f>
        <v>0.0513645812378462</v>
      </c>
    </row>
    <row r="27" customFormat="false" ht="15" hidden="false" customHeight="true" outlineLevel="0" collapsed="false">
      <c r="B27" s="21" t="n">
        <f aca="false">EDATE(B10,12)</f>
        <v>46631</v>
      </c>
      <c r="C27" s="22" t="n">
        <v>22</v>
      </c>
      <c r="D27" s="22" t="n">
        <v>26</v>
      </c>
      <c r="E27" s="70" t="n">
        <v>26.5</v>
      </c>
      <c r="F27" s="30" t="n">
        <f aca="false">D27*E27</f>
        <v>689</v>
      </c>
      <c r="G27" s="30" t="n">
        <f aca="false">F27*C27</f>
        <v>15158</v>
      </c>
      <c r="H27" s="30" t="n">
        <f aca="false">G27/1.1</f>
        <v>13780</v>
      </c>
      <c r="I27" s="22" t="n">
        <v>22</v>
      </c>
      <c r="J27" s="22" t="n">
        <v>22</v>
      </c>
      <c r="K27" s="70" t="n">
        <v>53</v>
      </c>
      <c r="L27" s="30" t="n">
        <f aca="false">J27*K27</f>
        <v>1166</v>
      </c>
      <c r="M27" s="30" t="n">
        <f aca="false">I27*L27</f>
        <v>25652</v>
      </c>
      <c r="N27" s="30" t="n">
        <f aca="false">M27/1.1</f>
        <v>23320</v>
      </c>
      <c r="O27" s="28" t="n">
        <f aca="false">ROUND(20*AD27,0)</f>
        <v>9</v>
      </c>
      <c r="P27" s="29" t="n">
        <f aca="false">E27</f>
        <v>26.5</v>
      </c>
      <c r="Q27" s="30" t="n">
        <f aca="false">O27*P27</f>
        <v>238.5</v>
      </c>
      <c r="R27" s="30" t="n">
        <f aca="false">Q27*C27</f>
        <v>5247</v>
      </c>
      <c r="S27" s="30" t="n">
        <f aca="false">R27/1.1</f>
        <v>4770</v>
      </c>
      <c r="T27" s="31" t="n">
        <v>8</v>
      </c>
      <c r="U27" s="32" t="n">
        <v>16.5</v>
      </c>
      <c r="V27" s="27" t="n">
        <f aca="false">T27*U27</f>
        <v>132</v>
      </c>
      <c r="W27" s="30" t="n">
        <f aca="false">V27*Y27</f>
        <v>1716</v>
      </c>
      <c r="X27" s="30" t="n">
        <f aca="false">W27/1.1</f>
        <v>1560</v>
      </c>
      <c r="Y27" s="33" t="n">
        <v>13</v>
      </c>
      <c r="Z27" s="34"/>
      <c r="AA27" s="35"/>
      <c r="AB27" s="30" t="n">
        <f aca="false">+S27+N27+H27+X27</f>
        <v>43430</v>
      </c>
      <c r="AD27" s="71" t="n">
        <v>0.45</v>
      </c>
      <c r="AK27" s="39" t="n">
        <f aca="false">B27</f>
        <v>46631</v>
      </c>
      <c r="AL27" s="72" t="n">
        <f aca="false">+AB27/$AB$36</f>
        <v>0.0970741411296632</v>
      </c>
    </row>
    <row r="28" customFormat="false" ht="15" hidden="false" customHeight="true" outlineLevel="0" collapsed="false">
      <c r="B28" s="21" t="n">
        <f aca="false">EDATE(B11,12)</f>
        <v>46661</v>
      </c>
      <c r="C28" s="22" t="n">
        <v>23</v>
      </c>
      <c r="D28" s="22" t="n">
        <v>26</v>
      </c>
      <c r="E28" s="70" t="n">
        <v>26.5</v>
      </c>
      <c r="F28" s="30" t="n">
        <f aca="false">D28*E28</f>
        <v>689</v>
      </c>
      <c r="G28" s="30" t="n">
        <f aca="false">F28*C28</f>
        <v>15847</v>
      </c>
      <c r="H28" s="30" t="n">
        <f aca="false">G28/1.1</f>
        <v>14406.3636363636</v>
      </c>
      <c r="I28" s="22" t="n">
        <v>22</v>
      </c>
      <c r="J28" s="22" t="n">
        <v>22</v>
      </c>
      <c r="K28" s="70" t="n">
        <v>53</v>
      </c>
      <c r="L28" s="30" t="n">
        <f aca="false">J28*K28</f>
        <v>1166</v>
      </c>
      <c r="M28" s="30" t="n">
        <f aca="false">I28*L28</f>
        <v>25652</v>
      </c>
      <c r="N28" s="30" t="n">
        <f aca="false">M28/1.1</f>
        <v>23320</v>
      </c>
      <c r="O28" s="28" t="n">
        <f aca="false">ROUND(20*AD28,0)</f>
        <v>0</v>
      </c>
      <c r="P28" s="29" t="n">
        <f aca="false">E28</f>
        <v>26.5</v>
      </c>
      <c r="Q28" s="30" t="n">
        <f aca="false">O28*P28</f>
        <v>0</v>
      </c>
      <c r="R28" s="30" t="n">
        <f aca="false">Q28*C28</f>
        <v>0</v>
      </c>
      <c r="S28" s="30" t="n">
        <f aca="false">R28/1.1</f>
        <v>0</v>
      </c>
      <c r="T28" s="31" t="n">
        <v>0</v>
      </c>
      <c r="U28" s="32" t="n">
        <v>16.5</v>
      </c>
      <c r="V28" s="27" t="n">
        <f aca="false">T28*U28</f>
        <v>0</v>
      </c>
      <c r="W28" s="30" t="n">
        <f aca="false">V28*Y28</f>
        <v>0</v>
      </c>
      <c r="X28" s="30" t="n">
        <f aca="false">W28/1.1</f>
        <v>0</v>
      </c>
      <c r="Y28" s="33" t="n">
        <v>14</v>
      </c>
      <c r="Z28" s="34"/>
      <c r="AA28" s="35"/>
      <c r="AB28" s="30" t="n">
        <f aca="false">+S28+N28+H28+X28</f>
        <v>37726.3636363636</v>
      </c>
      <c r="AK28" s="39" t="n">
        <f aca="false">B28</f>
        <v>46661</v>
      </c>
      <c r="AL28" s="72" t="n">
        <f aca="false">+AB28/$AB$36</f>
        <v>0.0843254512536347</v>
      </c>
    </row>
    <row r="29" customFormat="false" ht="15" hidden="false" customHeight="true" outlineLevel="0" collapsed="false">
      <c r="B29" s="21" t="n">
        <f aca="false">EDATE(B12,12)</f>
        <v>46692</v>
      </c>
      <c r="C29" s="22" t="n">
        <v>20</v>
      </c>
      <c r="D29" s="22" t="n">
        <v>26</v>
      </c>
      <c r="E29" s="70" t="n">
        <v>26.5</v>
      </c>
      <c r="F29" s="30" t="n">
        <f aca="false">D29*E29</f>
        <v>689</v>
      </c>
      <c r="G29" s="30" t="n">
        <f aca="false">F29*C29</f>
        <v>13780</v>
      </c>
      <c r="H29" s="30" t="n">
        <f aca="false">G29/1.1</f>
        <v>12527.2727272727</v>
      </c>
      <c r="I29" s="22" t="n">
        <v>21</v>
      </c>
      <c r="J29" s="22" t="n">
        <v>22</v>
      </c>
      <c r="K29" s="70" t="n">
        <v>53</v>
      </c>
      <c r="L29" s="30" t="n">
        <f aca="false">J29*K29</f>
        <v>1166</v>
      </c>
      <c r="M29" s="30" t="n">
        <f aca="false">I29*L29</f>
        <v>24486</v>
      </c>
      <c r="N29" s="30" t="n">
        <f aca="false">M29/1.1</f>
        <v>22260</v>
      </c>
      <c r="O29" s="28" t="n">
        <f aca="false">ROUND(20*AD29,0)</f>
        <v>0</v>
      </c>
      <c r="P29" s="29" t="n">
        <f aca="false">E29</f>
        <v>26.5</v>
      </c>
      <c r="Q29" s="30" t="n">
        <f aca="false">O29*P29</f>
        <v>0</v>
      </c>
      <c r="R29" s="30" t="n">
        <f aca="false">Q29*C29</f>
        <v>0</v>
      </c>
      <c r="S29" s="30" t="n">
        <f aca="false">R29/1.1</f>
        <v>0</v>
      </c>
      <c r="T29" s="31" t="n">
        <v>0</v>
      </c>
      <c r="U29" s="32" t="n">
        <v>16.5</v>
      </c>
      <c r="V29" s="27" t="n">
        <f aca="false">T29*U29</f>
        <v>0</v>
      </c>
      <c r="W29" s="30" t="n">
        <f aca="false">V29*Y29</f>
        <v>0</v>
      </c>
      <c r="X29" s="30" t="n">
        <f aca="false">W29/1.1</f>
        <v>0</v>
      </c>
      <c r="Y29" s="33" t="n">
        <v>12</v>
      </c>
      <c r="Z29" s="34"/>
      <c r="AA29" s="35"/>
      <c r="AB29" s="30" t="n">
        <f aca="false">+S29+N29+H29+X29</f>
        <v>34787.2727272727</v>
      </c>
      <c r="AK29" s="39" t="n">
        <f aca="false">B29</f>
        <v>46692</v>
      </c>
      <c r="AL29" s="72" t="n">
        <f aca="false">+AB29/$AB$36</f>
        <v>0.0777560355110144</v>
      </c>
    </row>
    <row r="30" customFormat="false" ht="15" hidden="false" customHeight="true" outlineLevel="0" collapsed="false">
      <c r="B30" s="21" t="n">
        <f aca="false">EDATE(B13,12)</f>
        <v>46722</v>
      </c>
      <c r="C30" s="22" t="n">
        <v>16</v>
      </c>
      <c r="D30" s="22" t="n">
        <v>26</v>
      </c>
      <c r="E30" s="70" t="n">
        <v>26.5</v>
      </c>
      <c r="F30" s="30" t="n">
        <f aca="false">D30*E30</f>
        <v>689</v>
      </c>
      <c r="G30" s="30" t="n">
        <f aca="false">F30*C30</f>
        <v>11024</v>
      </c>
      <c r="H30" s="30" t="n">
        <f aca="false">G30/1.1</f>
        <v>10021.8181818182</v>
      </c>
      <c r="I30" s="22" t="n">
        <v>16</v>
      </c>
      <c r="J30" s="22" t="n">
        <v>22</v>
      </c>
      <c r="K30" s="70" t="n">
        <v>53</v>
      </c>
      <c r="L30" s="30" t="n">
        <f aca="false">J30*K30</f>
        <v>1166</v>
      </c>
      <c r="M30" s="30" t="n">
        <f aca="false">I30*L30</f>
        <v>18656</v>
      </c>
      <c r="N30" s="30" t="n">
        <f aca="false">M30/1.1</f>
        <v>16960</v>
      </c>
      <c r="O30" s="28" t="n">
        <f aca="false">ROUND(20*AD30,0)</f>
        <v>0</v>
      </c>
      <c r="P30" s="29" t="n">
        <f aca="false">E30</f>
        <v>26.5</v>
      </c>
      <c r="Q30" s="30" t="n">
        <f aca="false">O30*P30</f>
        <v>0</v>
      </c>
      <c r="R30" s="30" t="n">
        <f aca="false">Q30*C30</f>
        <v>0</v>
      </c>
      <c r="S30" s="30" t="n">
        <f aca="false">R30/1.1</f>
        <v>0</v>
      </c>
      <c r="T30" s="31" t="n">
        <v>0</v>
      </c>
      <c r="U30" s="32" t="n">
        <v>16.5</v>
      </c>
      <c r="V30" s="27" t="n">
        <f aca="false">T30*U30</f>
        <v>0</v>
      </c>
      <c r="W30" s="30" t="n">
        <f aca="false">V30*Y30</f>
        <v>0</v>
      </c>
      <c r="X30" s="30" t="n">
        <f aca="false">W30/1.1</f>
        <v>0</v>
      </c>
      <c r="Y30" s="33" t="n">
        <v>9</v>
      </c>
      <c r="Z30" s="34"/>
      <c r="AA30" s="35"/>
      <c r="AB30" s="30" t="n">
        <f aca="false">+S30+N30+H30+X30</f>
        <v>26981.8181818182</v>
      </c>
      <c r="AK30" s="39" t="n">
        <f aca="false">B30</f>
        <v>46722</v>
      </c>
      <c r="AL30" s="72" t="n">
        <f aca="false">+AB30/$AB$36</f>
        <v>0.0603093904240555</v>
      </c>
    </row>
    <row r="31" customFormat="false" ht="15" hidden="false" customHeight="true" outlineLevel="0" collapsed="false">
      <c r="B31" s="21" t="n">
        <f aca="false">EDATE(B14,12)</f>
        <v>46753</v>
      </c>
      <c r="C31" s="22" t="n">
        <v>21</v>
      </c>
      <c r="D31" s="22" t="n">
        <v>26</v>
      </c>
      <c r="E31" s="70" t="n">
        <v>26.5</v>
      </c>
      <c r="F31" s="30" t="n">
        <f aca="false">D31*E31</f>
        <v>689</v>
      </c>
      <c r="G31" s="30" t="n">
        <f aca="false">F31*C31</f>
        <v>14469</v>
      </c>
      <c r="H31" s="30" t="n">
        <f aca="false">G31/1.1</f>
        <v>13153.6363636364</v>
      </c>
      <c r="I31" s="22" t="n">
        <v>20</v>
      </c>
      <c r="J31" s="22" t="n">
        <v>22</v>
      </c>
      <c r="K31" s="70" t="n">
        <v>53</v>
      </c>
      <c r="L31" s="30" t="n">
        <f aca="false">J31*K31</f>
        <v>1166</v>
      </c>
      <c r="M31" s="30" t="n">
        <f aca="false">I31*L31</f>
        <v>23320</v>
      </c>
      <c r="N31" s="30" t="n">
        <f aca="false">M31/1.1</f>
        <v>21200</v>
      </c>
      <c r="O31" s="28" t="n">
        <f aca="false">ROUND(20*AD31,0)</f>
        <v>0</v>
      </c>
      <c r="P31" s="29" t="n">
        <f aca="false">E31</f>
        <v>26.5</v>
      </c>
      <c r="Q31" s="30" t="n">
        <f aca="false">O31*P31</f>
        <v>0</v>
      </c>
      <c r="R31" s="30" t="n">
        <f aca="false">Q31*C31</f>
        <v>0</v>
      </c>
      <c r="S31" s="30" t="n">
        <f aca="false">R31/1.1</f>
        <v>0</v>
      </c>
      <c r="T31" s="31" t="n">
        <v>0</v>
      </c>
      <c r="U31" s="32" t="n">
        <v>16.5</v>
      </c>
      <c r="V31" s="27" t="n">
        <f aca="false">T31*U31</f>
        <v>0</v>
      </c>
      <c r="W31" s="30" t="n">
        <f aca="false">V31*Y31</f>
        <v>0</v>
      </c>
      <c r="X31" s="30" t="n">
        <f aca="false">W31/1.1</f>
        <v>0</v>
      </c>
      <c r="Y31" s="33" t="n">
        <v>12</v>
      </c>
      <c r="Z31" s="34"/>
      <c r="AA31" s="35"/>
      <c r="AB31" s="30" t="n">
        <f aca="false">+S31+N31+H31+X31</f>
        <v>34353.6363636364</v>
      </c>
      <c r="AK31" s="39" t="n">
        <f aca="false">B31</f>
        <v>46753</v>
      </c>
      <c r="AL31" s="72" t="n">
        <f aca="false">+AB31/$AB$36</f>
        <v>0.0767867774506278</v>
      </c>
    </row>
    <row r="32" customFormat="false" ht="15" hidden="false" customHeight="true" outlineLevel="0" collapsed="false">
      <c r="B32" s="21" t="n">
        <f aca="false">EDATE(B15,12)</f>
        <v>46784</v>
      </c>
      <c r="C32" s="22" t="n">
        <v>15</v>
      </c>
      <c r="D32" s="22" t="n">
        <v>26</v>
      </c>
      <c r="E32" s="70" t="n">
        <v>26.5</v>
      </c>
      <c r="F32" s="30" t="n">
        <f aca="false">D32*E32</f>
        <v>689</v>
      </c>
      <c r="G32" s="30" t="n">
        <f aca="false">F32*C32</f>
        <v>10335</v>
      </c>
      <c r="H32" s="30" t="n">
        <f aca="false">G32/1.1</f>
        <v>9395.45454545454</v>
      </c>
      <c r="I32" s="22" t="n">
        <v>16</v>
      </c>
      <c r="J32" s="22" t="n">
        <v>22</v>
      </c>
      <c r="K32" s="70" t="n">
        <v>53</v>
      </c>
      <c r="L32" s="30" t="n">
        <f aca="false">J32*K32</f>
        <v>1166</v>
      </c>
      <c r="M32" s="30" t="n">
        <f aca="false">I32*L32</f>
        <v>18656</v>
      </c>
      <c r="N32" s="30" t="n">
        <f aca="false">M32/1.1</f>
        <v>16960</v>
      </c>
      <c r="O32" s="28" t="n">
        <f aca="false">ROUND(20*AD32,0)</f>
        <v>0</v>
      </c>
      <c r="P32" s="29" t="n">
        <f aca="false">E32</f>
        <v>26.5</v>
      </c>
      <c r="Q32" s="30" t="n">
        <f aca="false">O32*P32</f>
        <v>0</v>
      </c>
      <c r="R32" s="30" t="n">
        <f aca="false">Q32*C32</f>
        <v>0</v>
      </c>
      <c r="S32" s="30" t="n">
        <f aca="false">R32/1.1</f>
        <v>0</v>
      </c>
      <c r="T32" s="31" t="n">
        <v>0</v>
      </c>
      <c r="U32" s="32" t="n">
        <v>16.5</v>
      </c>
      <c r="V32" s="27" t="n">
        <f aca="false">T32*U32</f>
        <v>0</v>
      </c>
      <c r="W32" s="30" t="n">
        <f aca="false">V32*Y32</f>
        <v>0</v>
      </c>
      <c r="X32" s="30" t="n">
        <f aca="false">W32/1.1</f>
        <v>0</v>
      </c>
      <c r="Y32" s="33" t="n">
        <v>9</v>
      </c>
      <c r="Z32" s="34"/>
      <c r="AA32" s="35"/>
      <c r="AB32" s="30" t="n">
        <f aca="false">+S32+N32+H32+X32</f>
        <v>26355.4545454545</v>
      </c>
      <c r="AK32" s="39" t="n">
        <f aca="false">B32</f>
        <v>46784</v>
      </c>
      <c r="AL32" s="72" t="n">
        <f aca="false">+AB32/$AB$36</f>
        <v>0.0589093510034971</v>
      </c>
    </row>
    <row r="33" customFormat="false" ht="15" hidden="false" customHeight="true" outlineLevel="0" collapsed="false">
      <c r="B33" s="21" t="n">
        <f aca="false">EDATE(B16,12)</f>
        <v>46813</v>
      </c>
      <c r="C33" s="22" t="n">
        <v>23</v>
      </c>
      <c r="D33" s="22" t="n">
        <v>26</v>
      </c>
      <c r="E33" s="70" t="n">
        <v>26.5</v>
      </c>
      <c r="F33" s="30" t="n">
        <f aca="false">D33*E33</f>
        <v>689</v>
      </c>
      <c r="G33" s="30" t="n">
        <f aca="false">F33*C33</f>
        <v>15847</v>
      </c>
      <c r="H33" s="30" t="n">
        <f aca="false">G33/1.1</f>
        <v>14406.3636363636</v>
      </c>
      <c r="I33" s="22" t="n">
        <v>23</v>
      </c>
      <c r="J33" s="22" t="n">
        <v>22</v>
      </c>
      <c r="K33" s="70" t="n">
        <v>53</v>
      </c>
      <c r="L33" s="30" t="n">
        <f aca="false">J33*K33</f>
        <v>1166</v>
      </c>
      <c r="M33" s="30" t="n">
        <f aca="false">I33*L33</f>
        <v>26818</v>
      </c>
      <c r="N33" s="30" t="n">
        <f aca="false">M33/1.1</f>
        <v>24380</v>
      </c>
      <c r="O33" s="28" t="n">
        <f aca="false">ROUND(20*AD33,0)</f>
        <v>9</v>
      </c>
      <c r="P33" s="29" t="n">
        <f aca="false">E33</f>
        <v>26.5</v>
      </c>
      <c r="Q33" s="30" t="n">
        <f aca="false">O33*P33</f>
        <v>238.5</v>
      </c>
      <c r="R33" s="30" t="n">
        <f aca="false">Q33*C33</f>
        <v>5485.5</v>
      </c>
      <c r="S33" s="30" t="n">
        <f aca="false">R33/1.1</f>
        <v>4986.81818181818</v>
      </c>
      <c r="T33" s="31" t="n">
        <v>0</v>
      </c>
      <c r="U33" s="32" t="n">
        <v>16.5</v>
      </c>
      <c r="V33" s="27" t="n">
        <f aca="false">T33*U33</f>
        <v>0</v>
      </c>
      <c r="W33" s="30" t="n">
        <f aca="false">V33*Y33</f>
        <v>0</v>
      </c>
      <c r="X33" s="30" t="n">
        <f aca="false">W33/1.1</f>
        <v>0</v>
      </c>
      <c r="Y33" s="33" t="n">
        <v>14</v>
      </c>
      <c r="Z33" s="34"/>
      <c r="AA33" s="35"/>
      <c r="AB33" s="30" t="n">
        <f aca="false">+S33+N33+H33+X33</f>
        <v>43773.1818181818</v>
      </c>
      <c r="AD33" s="71" t="n">
        <v>0.45</v>
      </c>
      <c r="AK33" s="39" t="n">
        <f aca="false">B33</f>
        <v>46813</v>
      </c>
      <c r="AL33" s="72" t="n">
        <f aca="false">+AB33/$AB$36</f>
        <v>0.0978412164290257</v>
      </c>
    </row>
    <row r="34" customFormat="false" ht="15" hidden="false" customHeight="true" outlineLevel="0" collapsed="false">
      <c r="B34" s="21" t="n">
        <f aca="false">EDATE(B17,12)</f>
        <v>46844</v>
      </c>
      <c r="C34" s="22" t="n">
        <v>22</v>
      </c>
      <c r="D34" s="22" t="n">
        <v>26</v>
      </c>
      <c r="E34" s="70" t="n">
        <v>26.5</v>
      </c>
      <c r="F34" s="30" t="n">
        <f aca="false">D34*E34</f>
        <v>689</v>
      </c>
      <c r="G34" s="30" t="n">
        <f aca="false">F34*C34</f>
        <v>15158</v>
      </c>
      <c r="H34" s="30" t="n">
        <f aca="false">G34/1.1</f>
        <v>13780</v>
      </c>
      <c r="I34" s="22" t="n">
        <v>21</v>
      </c>
      <c r="J34" s="22" t="n">
        <v>22</v>
      </c>
      <c r="K34" s="70" t="n">
        <v>53</v>
      </c>
      <c r="L34" s="30" t="n">
        <f aca="false">J34*K34</f>
        <v>1166</v>
      </c>
      <c r="M34" s="30" t="n">
        <f aca="false">I34*L34</f>
        <v>24486</v>
      </c>
      <c r="N34" s="30" t="n">
        <f aca="false">M34/1.1</f>
        <v>22260</v>
      </c>
      <c r="O34" s="28" t="n">
        <f aca="false">ROUND(20*AD34,0)</f>
        <v>10</v>
      </c>
      <c r="P34" s="29" t="n">
        <f aca="false">E34</f>
        <v>26.5</v>
      </c>
      <c r="Q34" s="30" t="n">
        <f aca="false">O34*P34</f>
        <v>265</v>
      </c>
      <c r="R34" s="30" t="n">
        <f aca="false">Q34*C34</f>
        <v>5830</v>
      </c>
      <c r="S34" s="30" t="n">
        <f aca="false">R34/1.1</f>
        <v>5300</v>
      </c>
      <c r="T34" s="31" t="n">
        <v>0</v>
      </c>
      <c r="U34" s="32" t="n">
        <v>16.5</v>
      </c>
      <c r="V34" s="27" t="n">
        <f aca="false">T34*U34</f>
        <v>0</v>
      </c>
      <c r="W34" s="30" t="n">
        <f aca="false">V34*Y34</f>
        <v>0</v>
      </c>
      <c r="X34" s="30" t="n">
        <f aca="false">W34/1.1</f>
        <v>0</v>
      </c>
      <c r="Y34" s="33" t="n">
        <v>13</v>
      </c>
      <c r="Z34" s="34"/>
      <c r="AA34" s="35"/>
      <c r="AB34" s="30" t="n">
        <f aca="false">+S34+N34+H34+X34</f>
        <v>41340</v>
      </c>
      <c r="AD34" s="71" t="n">
        <v>0.5</v>
      </c>
      <c r="AK34" s="39" t="n">
        <f aca="false">B34</f>
        <v>46844</v>
      </c>
      <c r="AL34" s="72" t="n">
        <f aca="false">+AB34/$AB$36</f>
        <v>0.0924026017568564</v>
      </c>
    </row>
    <row r="35" customFormat="false" ht="15" hidden="false" customHeight="true" outlineLevel="0" collapsed="false">
      <c r="B35" s="21" t="n">
        <f aca="false">EDATE(B18,12)</f>
        <v>46874</v>
      </c>
      <c r="C35" s="22" t="n">
        <v>21</v>
      </c>
      <c r="D35" s="22" t="n">
        <v>26</v>
      </c>
      <c r="E35" s="70" t="n">
        <v>26.5</v>
      </c>
      <c r="F35" s="30" t="n">
        <f aca="false">D35*E35</f>
        <v>689</v>
      </c>
      <c r="G35" s="30" t="n">
        <f aca="false">F35*C35</f>
        <v>14469</v>
      </c>
      <c r="H35" s="30" t="n">
        <f aca="false">G35/1.1</f>
        <v>13153.6363636364</v>
      </c>
      <c r="I35" s="22" t="n">
        <v>22</v>
      </c>
      <c r="J35" s="22" t="n">
        <v>22</v>
      </c>
      <c r="K35" s="70" t="n">
        <v>53</v>
      </c>
      <c r="L35" s="30" t="n">
        <f aca="false">J35*K35</f>
        <v>1166</v>
      </c>
      <c r="M35" s="30" t="n">
        <f aca="false">I35*L35</f>
        <v>25652</v>
      </c>
      <c r="N35" s="30" t="n">
        <f aca="false">M35/1.1</f>
        <v>23320</v>
      </c>
      <c r="O35" s="28" t="n">
        <f aca="false">ROUND(20*AD35,0)</f>
        <v>13</v>
      </c>
      <c r="P35" s="29" t="n">
        <f aca="false">E35</f>
        <v>26.5</v>
      </c>
      <c r="Q35" s="30" t="n">
        <f aca="false">O35*P35</f>
        <v>344.5</v>
      </c>
      <c r="R35" s="30" t="n">
        <f aca="false">Q35*C35</f>
        <v>7234.5</v>
      </c>
      <c r="S35" s="30" t="n">
        <f aca="false">R35/1.1</f>
        <v>6576.81818181818</v>
      </c>
      <c r="T35" s="31" t="n">
        <v>8</v>
      </c>
      <c r="U35" s="32" t="n">
        <v>16.5</v>
      </c>
      <c r="V35" s="27" t="n">
        <f aca="false">T35*U35</f>
        <v>132</v>
      </c>
      <c r="W35" s="30" t="n">
        <f aca="false">V35*Y35</f>
        <v>1584</v>
      </c>
      <c r="X35" s="30" t="n">
        <f aca="false">W35/1.1</f>
        <v>1440</v>
      </c>
      <c r="Y35" s="33" t="n">
        <v>12</v>
      </c>
      <c r="Z35" s="34"/>
      <c r="AA35" s="35"/>
      <c r="AB35" s="30" t="n">
        <f aca="false">+S35+N35+H35+X35</f>
        <v>44490.4545454545</v>
      </c>
      <c r="AD35" s="71" t="n">
        <v>0.65</v>
      </c>
      <c r="AK35" s="39" t="n">
        <f aca="false">B35</f>
        <v>46874</v>
      </c>
      <c r="AL35" s="72" t="n">
        <f aca="false">+AB35/$AB$36</f>
        <v>0.0994444546043822</v>
      </c>
    </row>
    <row r="36" customFormat="false" ht="15" hidden="false" customHeight="true" outlineLevel="0" collapsed="false">
      <c r="B36" s="54" t="s">
        <v>24</v>
      </c>
      <c r="C36" s="55" t="n">
        <f aca="false">SUM(C24:C35)</f>
        <v>238</v>
      </c>
      <c r="D36" s="56"/>
      <c r="E36" s="57"/>
      <c r="F36" s="58"/>
      <c r="G36" s="61" t="n">
        <f aca="false">SUM(G24:G35)</f>
        <v>163982</v>
      </c>
      <c r="H36" s="61" t="n">
        <f aca="false">SUM(H24:H35)</f>
        <v>149074.545454545</v>
      </c>
      <c r="I36" s="55" t="n">
        <f aca="false">SUM(I24:I35)</f>
        <v>239</v>
      </c>
      <c r="J36" s="56"/>
      <c r="K36" s="57"/>
      <c r="L36" s="58"/>
      <c r="M36" s="61" t="n">
        <f aca="false">SUM(M24:M35)</f>
        <v>278674</v>
      </c>
      <c r="N36" s="61" t="n">
        <f aca="false">SUM(N24:N35)</f>
        <v>253340</v>
      </c>
      <c r="O36" s="60"/>
      <c r="P36" s="57"/>
      <c r="Q36" s="58"/>
      <c r="R36" s="61" t="n">
        <f aca="false">SUM(R24:R35)</f>
        <v>41817</v>
      </c>
      <c r="S36" s="61" t="n">
        <f aca="false">SUM(S24:S35)</f>
        <v>38015.4545454545</v>
      </c>
      <c r="T36" s="60"/>
      <c r="U36" s="60"/>
      <c r="V36" s="57"/>
      <c r="W36" s="61" t="n">
        <f aca="false">SUM(W24:W35)</f>
        <v>7656</v>
      </c>
      <c r="X36" s="61" t="n">
        <f aca="false">SUM(X24:X35)</f>
        <v>6960</v>
      </c>
      <c r="Y36" s="62"/>
      <c r="Z36" s="63"/>
      <c r="AA36" s="62"/>
      <c r="AB36" s="64" t="n">
        <f aca="false">SUM(AB24:AB35)</f>
        <v>447390</v>
      </c>
    </row>
    <row r="37" customFormat="false" ht="15" hidden="false" customHeight="true" outlineLevel="0" collapsed="false"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</row>
    <row r="38" s="67" customFormat="true" ht="20.25" hidden="false" customHeight="true" outlineLevel="0" collapsed="false">
      <c r="B38" s="5" t="s">
        <v>26</v>
      </c>
      <c r="C38" s="6" t="s">
        <v>3</v>
      </c>
      <c r="D38" s="68" t="s">
        <v>4</v>
      </c>
      <c r="E38" s="68"/>
      <c r="F38" s="68"/>
      <c r="G38" s="68"/>
      <c r="H38" s="68"/>
      <c r="I38" s="6" t="s">
        <v>5</v>
      </c>
      <c r="J38" s="69" t="s">
        <v>6</v>
      </c>
      <c r="K38" s="69"/>
      <c r="L38" s="69"/>
      <c r="M38" s="69"/>
      <c r="N38" s="69"/>
      <c r="O38" s="8" t="s">
        <v>7</v>
      </c>
      <c r="P38" s="8"/>
      <c r="Q38" s="8"/>
      <c r="R38" s="8"/>
      <c r="S38" s="8"/>
      <c r="T38" s="8" t="s">
        <v>8</v>
      </c>
      <c r="U38" s="8"/>
      <c r="V38" s="8"/>
      <c r="W38" s="8"/>
      <c r="X38" s="8"/>
      <c r="Y38" s="9"/>
      <c r="Z38" s="9"/>
      <c r="AA38" s="9"/>
      <c r="AB38" s="10" t="s">
        <v>9</v>
      </c>
    </row>
    <row r="39" customFormat="false" ht="37.5" hidden="false" customHeight="true" outlineLevel="0" collapsed="false">
      <c r="B39" s="5"/>
      <c r="C39" s="6"/>
      <c r="D39" s="14" t="s">
        <v>12</v>
      </c>
      <c r="E39" s="15" t="s">
        <v>13</v>
      </c>
      <c r="F39" s="15" t="s">
        <v>14</v>
      </c>
      <c r="G39" s="15" t="s">
        <v>15</v>
      </c>
      <c r="H39" s="15" t="s">
        <v>16</v>
      </c>
      <c r="I39" s="6"/>
      <c r="J39" s="14" t="s">
        <v>12</v>
      </c>
      <c r="K39" s="15" t="s">
        <v>13</v>
      </c>
      <c r="L39" s="15" t="s">
        <v>14</v>
      </c>
      <c r="M39" s="15" t="s">
        <v>15</v>
      </c>
      <c r="N39" s="15" t="s">
        <v>16</v>
      </c>
      <c r="O39" s="10" t="s">
        <v>12</v>
      </c>
      <c r="P39" s="16" t="s">
        <v>13</v>
      </c>
      <c r="Q39" s="16" t="s">
        <v>14</v>
      </c>
      <c r="R39" s="16" t="s">
        <v>15</v>
      </c>
      <c r="S39" s="10" t="s">
        <v>16</v>
      </c>
      <c r="T39" s="10" t="s">
        <v>12</v>
      </c>
      <c r="U39" s="16" t="s">
        <v>13</v>
      </c>
      <c r="V39" s="16" t="s">
        <v>14</v>
      </c>
      <c r="W39" s="16" t="s">
        <v>15</v>
      </c>
      <c r="X39" s="10" t="s">
        <v>16</v>
      </c>
      <c r="Y39" s="17" t="s">
        <v>17</v>
      </c>
      <c r="Z39" s="17"/>
      <c r="AA39" s="17"/>
      <c r="AB39" s="10"/>
      <c r="AD39" s="13" t="s">
        <v>18</v>
      </c>
    </row>
    <row r="40" customFormat="false" ht="15" hidden="false" customHeight="true" outlineLevel="0" collapsed="false">
      <c r="B40" s="21" t="n">
        <f aca="false">EDATE(B7,24)</f>
        <v>46905</v>
      </c>
      <c r="C40" s="22" t="n">
        <v>22</v>
      </c>
      <c r="D40" s="22" t="n">
        <v>28</v>
      </c>
      <c r="E40" s="70" t="n">
        <v>27</v>
      </c>
      <c r="F40" s="30" t="n">
        <f aca="false">D40*E40</f>
        <v>756</v>
      </c>
      <c r="G40" s="30" t="n">
        <f aca="false">F40*C40</f>
        <v>16632</v>
      </c>
      <c r="H40" s="30" t="n">
        <f aca="false">G40/1.1</f>
        <v>15120</v>
      </c>
      <c r="I40" s="22" t="n">
        <v>22</v>
      </c>
      <c r="J40" s="22" t="n">
        <v>24</v>
      </c>
      <c r="K40" s="70" t="n">
        <v>54</v>
      </c>
      <c r="L40" s="30" t="n">
        <f aca="false">J40*K40</f>
        <v>1296</v>
      </c>
      <c r="M40" s="30" t="n">
        <f aca="false">I40*L40</f>
        <v>28512</v>
      </c>
      <c r="N40" s="30" t="n">
        <f aca="false">M40/1.1</f>
        <v>25920</v>
      </c>
      <c r="O40" s="28" t="n">
        <f aca="false">ROUND(20*AD40,0)</f>
        <v>14</v>
      </c>
      <c r="P40" s="29" t="n">
        <f aca="false">E40</f>
        <v>27</v>
      </c>
      <c r="Q40" s="30" t="n">
        <f aca="false">O40*P40</f>
        <v>378</v>
      </c>
      <c r="R40" s="30" t="n">
        <f aca="false">Q40*C40</f>
        <v>8316</v>
      </c>
      <c r="S40" s="30" t="n">
        <f aca="false">R40/1.1</f>
        <v>7560</v>
      </c>
      <c r="T40" s="31" t="n">
        <v>9</v>
      </c>
      <c r="U40" s="32" t="n">
        <v>17</v>
      </c>
      <c r="V40" s="27" t="n">
        <f aca="false">T40*U40</f>
        <v>153</v>
      </c>
      <c r="W40" s="30" t="n">
        <f aca="false">V40*Y40</f>
        <v>2142</v>
      </c>
      <c r="X40" s="30" t="n">
        <f aca="false">W40/1.1</f>
        <v>1947.27272727273</v>
      </c>
      <c r="Y40" s="33" t="n">
        <v>14</v>
      </c>
      <c r="Z40" s="34"/>
      <c r="AA40" s="35"/>
      <c r="AB40" s="30" t="n">
        <f aca="false">+S40+N40+H40+X40</f>
        <v>50547.2727272727</v>
      </c>
      <c r="AD40" s="71" t="n">
        <v>0.7</v>
      </c>
      <c r="AK40" s="73" t="n">
        <f aca="false">B40</f>
        <v>46905</v>
      </c>
      <c r="AL40" s="74" t="n">
        <f aca="false">AB40/AB$52</f>
        <v>0.101692125362128</v>
      </c>
    </row>
    <row r="41" customFormat="false" ht="15" hidden="false" customHeight="true" outlineLevel="0" collapsed="false">
      <c r="B41" s="21" t="n">
        <f aca="false">EDATE(B8,24)</f>
        <v>46935</v>
      </c>
      <c r="C41" s="22" t="n">
        <v>22</v>
      </c>
      <c r="D41" s="22" t="n">
        <v>28</v>
      </c>
      <c r="E41" s="70" t="n">
        <v>27</v>
      </c>
      <c r="F41" s="30" t="n">
        <f aca="false">D41*E41</f>
        <v>756</v>
      </c>
      <c r="G41" s="30" t="n">
        <f aca="false">F41*C41</f>
        <v>16632</v>
      </c>
      <c r="H41" s="30" t="n">
        <f aca="false">G41/1.1</f>
        <v>15120</v>
      </c>
      <c r="I41" s="22" t="n">
        <v>21</v>
      </c>
      <c r="J41" s="22" t="n">
        <v>24</v>
      </c>
      <c r="K41" s="70" t="n">
        <v>54</v>
      </c>
      <c r="L41" s="30" t="n">
        <f aca="false">J41*K41</f>
        <v>1296</v>
      </c>
      <c r="M41" s="30" t="n">
        <f aca="false">I41*L41</f>
        <v>27216</v>
      </c>
      <c r="N41" s="30" t="n">
        <f aca="false">M41/1.1</f>
        <v>24741.8181818182</v>
      </c>
      <c r="O41" s="28" t="n">
        <f aca="false">ROUND(20*AD41,0)</f>
        <v>12</v>
      </c>
      <c r="P41" s="29" t="n">
        <f aca="false">E41</f>
        <v>27</v>
      </c>
      <c r="Q41" s="30" t="n">
        <f aca="false">O41*P41</f>
        <v>324</v>
      </c>
      <c r="R41" s="30" t="n">
        <f aca="false">Q41*C41</f>
        <v>7128</v>
      </c>
      <c r="S41" s="30" t="n">
        <f aca="false">R41/1.1</f>
        <v>6480</v>
      </c>
      <c r="T41" s="31" t="n">
        <v>9</v>
      </c>
      <c r="U41" s="32" t="n">
        <v>17</v>
      </c>
      <c r="V41" s="27" t="n">
        <f aca="false">T41*U41</f>
        <v>153</v>
      </c>
      <c r="W41" s="30" t="n">
        <f aca="false">V41*Y41</f>
        <v>1989</v>
      </c>
      <c r="X41" s="30" t="n">
        <f aca="false">W41/1.1</f>
        <v>1808.18181818182</v>
      </c>
      <c r="Y41" s="33" t="n">
        <v>13</v>
      </c>
      <c r="Z41" s="34"/>
      <c r="AA41" s="35"/>
      <c r="AB41" s="30" t="n">
        <f aca="false">+S41+N41+H41+X41</f>
        <v>48150</v>
      </c>
      <c r="AD41" s="71" t="n">
        <v>0.6</v>
      </c>
      <c r="AK41" s="73" t="n">
        <f aca="false">B41</f>
        <v>46935</v>
      </c>
      <c r="AL41" s="74" t="n">
        <f aca="false">AB41/AB$52</f>
        <v>0.0968692388727943</v>
      </c>
    </row>
    <row r="42" customFormat="false" ht="15" hidden="false" customHeight="true" outlineLevel="0" collapsed="false">
      <c r="B42" s="21" t="n">
        <f aca="false">EDATE(B9,24)</f>
        <v>46966</v>
      </c>
      <c r="C42" s="22" t="n">
        <v>12</v>
      </c>
      <c r="D42" s="22" t="n">
        <v>28</v>
      </c>
      <c r="E42" s="70" t="n">
        <v>27</v>
      </c>
      <c r="F42" s="30" t="n">
        <f aca="false">D42*E42</f>
        <v>756</v>
      </c>
      <c r="G42" s="30" t="n">
        <f aca="false">F42*C42</f>
        <v>9072</v>
      </c>
      <c r="H42" s="30" t="n">
        <f aca="false">G42/1.1</f>
        <v>8247.27272727273</v>
      </c>
      <c r="I42" s="22" t="n">
        <v>13</v>
      </c>
      <c r="J42" s="22" t="n">
        <v>24</v>
      </c>
      <c r="K42" s="70" t="n">
        <v>54</v>
      </c>
      <c r="L42" s="30" t="n">
        <f aca="false">J42*K42</f>
        <v>1296</v>
      </c>
      <c r="M42" s="30" t="n">
        <f aca="false">I42*L42</f>
        <v>16848</v>
      </c>
      <c r="N42" s="30" t="n">
        <f aca="false">M42/1.1</f>
        <v>15316.3636363636</v>
      </c>
      <c r="O42" s="28" t="n">
        <f aca="false">ROUND(20*AD42,0)</f>
        <v>15</v>
      </c>
      <c r="P42" s="29" t="n">
        <f aca="false">E42</f>
        <v>27</v>
      </c>
      <c r="Q42" s="30" t="n">
        <f aca="false">O42*P42</f>
        <v>405</v>
      </c>
      <c r="R42" s="30" t="n">
        <f aca="false">Q42*C42</f>
        <v>4860</v>
      </c>
      <c r="S42" s="30" t="n">
        <f aca="false">R42/1.1</f>
        <v>4418.18181818182</v>
      </c>
      <c r="T42" s="31" t="n">
        <v>9</v>
      </c>
      <c r="U42" s="32" t="n">
        <v>17</v>
      </c>
      <c r="V42" s="27" t="n">
        <f aca="false">T42*U42</f>
        <v>153</v>
      </c>
      <c r="W42" s="30" t="n">
        <f aca="false">V42*Y42</f>
        <v>1071</v>
      </c>
      <c r="X42" s="30" t="n">
        <f aca="false">W42/1.1</f>
        <v>973.636363636364</v>
      </c>
      <c r="Y42" s="33" t="n">
        <v>7</v>
      </c>
      <c r="Z42" s="34"/>
      <c r="AA42" s="35"/>
      <c r="AB42" s="30" t="n">
        <f aca="false">+S42+N42+H42+X42</f>
        <v>28955.4545454545</v>
      </c>
      <c r="AD42" s="71" t="n">
        <v>0.75</v>
      </c>
      <c r="AK42" s="73" t="n">
        <f aca="false">B42</f>
        <v>46966</v>
      </c>
      <c r="AL42" s="74" t="n">
        <f aca="false">AB42/AB$52</f>
        <v>0.0582532262312352</v>
      </c>
    </row>
    <row r="43" customFormat="false" ht="15" hidden="false" customHeight="true" outlineLevel="0" collapsed="false">
      <c r="B43" s="21" t="n">
        <f aca="false">EDATE(B10,24)</f>
        <v>46997</v>
      </c>
      <c r="C43" s="22" t="n">
        <v>22</v>
      </c>
      <c r="D43" s="22" t="n">
        <v>28</v>
      </c>
      <c r="E43" s="70" t="n">
        <v>27</v>
      </c>
      <c r="F43" s="30" t="n">
        <f aca="false">D43*E43</f>
        <v>756</v>
      </c>
      <c r="G43" s="30" t="n">
        <f aca="false">F43*C43</f>
        <v>16632</v>
      </c>
      <c r="H43" s="30" t="n">
        <f aca="false">G43/1.1</f>
        <v>15120</v>
      </c>
      <c r="I43" s="22" t="n">
        <v>22</v>
      </c>
      <c r="J43" s="22" t="n">
        <v>24</v>
      </c>
      <c r="K43" s="70" t="n">
        <v>54</v>
      </c>
      <c r="L43" s="30" t="n">
        <f aca="false">J43*K43</f>
        <v>1296</v>
      </c>
      <c r="M43" s="30" t="n">
        <f aca="false">I43*L43</f>
        <v>28512</v>
      </c>
      <c r="N43" s="30" t="n">
        <f aca="false">M43/1.1</f>
        <v>25920</v>
      </c>
      <c r="O43" s="28" t="n">
        <f aca="false">ROUND(20*AD43,0)</f>
        <v>10</v>
      </c>
      <c r="P43" s="29" t="n">
        <f aca="false">E43</f>
        <v>27</v>
      </c>
      <c r="Q43" s="30" t="n">
        <f aca="false">O43*P43</f>
        <v>270</v>
      </c>
      <c r="R43" s="30" t="n">
        <f aca="false">Q43*C43</f>
        <v>5940</v>
      </c>
      <c r="S43" s="30" t="n">
        <f aca="false">R43/1.1</f>
        <v>5400</v>
      </c>
      <c r="T43" s="31" t="n">
        <v>9</v>
      </c>
      <c r="U43" s="32" t="n">
        <v>17</v>
      </c>
      <c r="V43" s="27" t="n">
        <f aca="false">T43*U43</f>
        <v>153</v>
      </c>
      <c r="W43" s="30" t="n">
        <f aca="false">V43*Y43</f>
        <v>2142</v>
      </c>
      <c r="X43" s="30" t="n">
        <f aca="false">W43/1.1</f>
        <v>1947.27272727273</v>
      </c>
      <c r="Y43" s="33" t="n">
        <v>14</v>
      </c>
      <c r="Z43" s="34"/>
      <c r="AA43" s="35"/>
      <c r="AB43" s="30" t="n">
        <f aca="false">+S43+N43+H43+X43</f>
        <v>48387.2727272727</v>
      </c>
      <c r="AD43" s="71" t="n">
        <v>0.5</v>
      </c>
      <c r="AK43" s="73" t="n">
        <f aca="false">B43</f>
        <v>46997</v>
      </c>
      <c r="AL43" s="74" t="n">
        <f aca="false">AB43/AB$52</f>
        <v>0.0973465894126942</v>
      </c>
    </row>
    <row r="44" customFormat="false" ht="15" hidden="false" customHeight="true" outlineLevel="0" collapsed="false">
      <c r="B44" s="21" t="n">
        <f aca="false">EDATE(B11,24)</f>
        <v>47027</v>
      </c>
      <c r="C44" s="22" t="n">
        <v>21</v>
      </c>
      <c r="D44" s="22" t="n">
        <v>28</v>
      </c>
      <c r="E44" s="70" t="n">
        <v>27</v>
      </c>
      <c r="F44" s="30" t="n">
        <f aca="false">D44*E44</f>
        <v>756</v>
      </c>
      <c r="G44" s="30" t="n">
        <f aca="false">F44*C44</f>
        <v>15876</v>
      </c>
      <c r="H44" s="30" t="n">
        <f aca="false">G44/1.1</f>
        <v>14432.7272727273</v>
      </c>
      <c r="I44" s="22" t="n">
        <v>21</v>
      </c>
      <c r="J44" s="22" t="n">
        <v>24</v>
      </c>
      <c r="K44" s="70" t="n">
        <v>54</v>
      </c>
      <c r="L44" s="30" t="n">
        <f aca="false">J44*K44</f>
        <v>1296</v>
      </c>
      <c r="M44" s="30" t="n">
        <f aca="false">I44*L44</f>
        <v>27216</v>
      </c>
      <c r="N44" s="30" t="n">
        <f aca="false">M44/1.1</f>
        <v>24741.8181818182</v>
      </c>
      <c r="O44" s="28" t="n">
        <f aca="false">ROUND(20*AD44,0)</f>
        <v>0</v>
      </c>
      <c r="P44" s="29" t="n">
        <f aca="false">E44</f>
        <v>27</v>
      </c>
      <c r="Q44" s="30" t="n">
        <f aca="false">O44*P44</f>
        <v>0</v>
      </c>
      <c r="R44" s="30" t="n">
        <f aca="false">Q44*C44</f>
        <v>0</v>
      </c>
      <c r="S44" s="30" t="n">
        <f aca="false">R44/1.1</f>
        <v>0</v>
      </c>
      <c r="T44" s="31" t="n">
        <v>0</v>
      </c>
      <c r="U44" s="32" t="n">
        <v>17</v>
      </c>
      <c r="V44" s="27" t="n">
        <f aca="false">T44*U44</f>
        <v>0</v>
      </c>
      <c r="W44" s="30" t="n">
        <f aca="false">V44*Y44</f>
        <v>0</v>
      </c>
      <c r="X44" s="30" t="n">
        <f aca="false">W44/1.1</f>
        <v>0</v>
      </c>
      <c r="Y44" s="33" t="n">
        <v>12</v>
      </c>
      <c r="Z44" s="34"/>
      <c r="AA44" s="35"/>
      <c r="AB44" s="30" t="n">
        <f aca="false">+S44+N44+H44+X44</f>
        <v>39174.5454545455</v>
      </c>
      <c r="AK44" s="73" t="n">
        <f aca="false">B44</f>
        <v>47027</v>
      </c>
      <c r="AL44" s="74" t="n">
        <f aca="false">AB44/AB$52</f>
        <v>0.0788122201738215</v>
      </c>
    </row>
    <row r="45" customFormat="false" ht="15" hidden="false" customHeight="true" outlineLevel="0" collapsed="false">
      <c r="B45" s="21" t="n">
        <f aca="false">EDATE(B12,24)</f>
        <v>47058</v>
      </c>
      <c r="C45" s="22" t="n">
        <v>22</v>
      </c>
      <c r="D45" s="22" t="n">
        <v>28</v>
      </c>
      <c r="E45" s="70" t="n">
        <v>27</v>
      </c>
      <c r="F45" s="30" t="n">
        <f aca="false">D45*E45</f>
        <v>756</v>
      </c>
      <c r="G45" s="30" t="n">
        <f aca="false">F45*C45</f>
        <v>16632</v>
      </c>
      <c r="H45" s="30" t="n">
        <f aca="false">G45/1.1</f>
        <v>15120</v>
      </c>
      <c r="I45" s="22" t="n">
        <v>22</v>
      </c>
      <c r="J45" s="22" t="n">
        <v>24</v>
      </c>
      <c r="K45" s="70" t="n">
        <v>54</v>
      </c>
      <c r="L45" s="30" t="n">
        <f aca="false">J45*K45</f>
        <v>1296</v>
      </c>
      <c r="M45" s="30" t="n">
        <f aca="false">I45*L45</f>
        <v>28512</v>
      </c>
      <c r="N45" s="30" t="n">
        <f aca="false">M45/1.1</f>
        <v>25920</v>
      </c>
      <c r="O45" s="28" t="n">
        <f aca="false">ROUND(20*AD45,0)</f>
        <v>0</v>
      </c>
      <c r="P45" s="29" t="n">
        <f aca="false">E45</f>
        <v>27</v>
      </c>
      <c r="Q45" s="30" t="n">
        <f aca="false">O45*P45</f>
        <v>0</v>
      </c>
      <c r="R45" s="30" t="n">
        <f aca="false">Q45*C45</f>
        <v>0</v>
      </c>
      <c r="S45" s="30" t="n">
        <f aca="false">R45/1.1</f>
        <v>0</v>
      </c>
      <c r="T45" s="31" t="n">
        <v>0</v>
      </c>
      <c r="U45" s="32" t="n">
        <v>17</v>
      </c>
      <c r="V45" s="27" t="n">
        <f aca="false">T45*U45</f>
        <v>0</v>
      </c>
      <c r="W45" s="30" t="n">
        <f aca="false">V45*Y45</f>
        <v>0</v>
      </c>
      <c r="X45" s="30" t="n">
        <f aca="false">W45/1.1</f>
        <v>0</v>
      </c>
      <c r="Y45" s="33" t="n">
        <v>13</v>
      </c>
      <c r="Z45" s="34"/>
      <c r="AA45" s="35"/>
      <c r="AB45" s="30" t="n">
        <f aca="false">+S45+N45+H45+X45</f>
        <v>41040</v>
      </c>
      <c r="AK45" s="73" t="n">
        <f aca="false">B45</f>
        <v>47058</v>
      </c>
      <c r="AL45" s="74" t="n">
        <f aca="false">AB45/AB$52</f>
        <v>0.0825651830392415</v>
      </c>
    </row>
    <row r="46" customFormat="false" ht="15" hidden="false" customHeight="true" outlineLevel="0" collapsed="false">
      <c r="B46" s="21" t="n">
        <f aca="false">EDATE(B13,24)</f>
        <v>47088</v>
      </c>
      <c r="C46" s="22" t="n">
        <v>16</v>
      </c>
      <c r="D46" s="22" t="n">
        <v>28</v>
      </c>
      <c r="E46" s="70" t="n">
        <v>27</v>
      </c>
      <c r="F46" s="30" t="n">
        <f aca="false">D46*E46</f>
        <v>756</v>
      </c>
      <c r="G46" s="30" t="n">
        <f aca="false">F46*C46</f>
        <v>12096</v>
      </c>
      <c r="H46" s="30" t="n">
        <f aca="false">G46/1.1</f>
        <v>10996.3636363636</v>
      </c>
      <c r="I46" s="22" t="n">
        <v>16</v>
      </c>
      <c r="J46" s="22" t="n">
        <v>24</v>
      </c>
      <c r="K46" s="70" t="n">
        <v>54</v>
      </c>
      <c r="L46" s="30" t="n">
        <f aca="false">J46*K46</f>
        <v>1296</v>
      </c>
      <c r="M46" s="30" t="n">
        <f aca="false">I46*L46</f>
        <v>20736</v>
      </c>
      <c r="N46" s="30" t="n">
        <f aca="false">M46/1.1</f>
        <v>18850.9090909091</v>
      </c>
      <c r="O46" s="28" t="n">
        <f aca="false">ROUND(20*AD46,0)</f>
        <v>0</v>
      </c>
      <c r="P46" s="29" t="n">
        <f aca="false">E46</f>
        <v>27</v>
      </c>
      <c r="Q46" s="30" t="n">
        <f aca="false">O46*P46</f>
        <v>0</v>
      </c>
      <c r="R46" s="30" t="n">
        <f aca="false">Q46*C46</f>
        <v>0</v>
      </c>
      <c r="S46" s="30" t="n">
        <f aca="false">R46/1.1</f>
        <v>0</v>
      </c>
      <c r="T46" s="31" t="n">
        <v>0</v>
      </c>
      <c r="U46" s="32" t="n">
        <v>17</v>
      </c>
      <c r="V46" s="27" t="n">
        <f aca="false">T46*U46</f>
        <v>0</v>
      </c>
      <c r="W46" s="30" t="n">
        <f aca="false">V46*Y46</f>
        <v>0</v>
      </c>
      <c r="X46" s="30" t="n">
        <f aca="false">W46/1.1</f>
        <v>0</v>
      </c>
      <c r="Y46" s="33" t="n">
        <v>10</v>
      </c>
      <c r="Z46" s="34"/>
      <c r="AA46" s="35"/>
      <c r="AB46" s="30" t="n">
        <f aca="false">+S46+N46+H46+X46</f>
        <v>29847.2727272727</v>
      </c>
      <c r="AK46" s="73" t="n">
        <f aca="false">B46</f>
        <v>47088</v>
      </c>
      <c r="AL46" s="74" t="n">
        <f aca="false">AB46/AB$52</f>
        <v>0.0600474058467211</v>
      </c>
    </row>
    <row r="47" customFormat="false" ht="15" hidden="false" customHeight="true" outlineLevel="0" collapsed="false">
      <c r="B47" s="21" t="n">
        <f aca="false">EDATE(B14,24)</f>
        <v>47119</v>
      </c>
      <c r="C47" s="22" t="n">
        <v>21</v>
      </c>
      <c r="D47" s="22" t="n">
        <v>28</v>
      </c>
      <c r="E47" s="70" t="n">
        <v>27</v>
      </c>
      <c r="F47" s="30" t="n">
        <f aca="false">D47*E47</f>
        <v>756</v>
      </c>
      <c r="G47" s="30" t="n">
        <f aca="false">F47*C47</f>
        <v>15876</v>
      </c>
      <c r="H47" s="30" t="n">
        <f aca="false">G47/1.1</f>
        <v>14432.7272727273</v>
      </c>
      <c r="I47" s="22" t="n">
        <v>22</v>
      </c>
      <c r="J47" s="22" t="n">
        <v>24</v>
      </c>
      <c r="K47" s="70" t="n">
        <v>54</v>
      </c>
      <c r="L47" s="30" t="n">
        <f aca="false">J47*K47</f>
        <v>1296</v>
      </c>
      <c r="M47" s="30" t="n">
        <f aca="false">I47*L47</f>
        <v>28512</v>
      </c>
      <c r="N47" s="30" t="n">
        <f aca="false">M47/1.1</f>
        <v>25920</v>
      </c>
      <c r="O47" s="28" t="n">
        <f aca="false">ROUND(20*AD47,0)</f>
        <v>0</v>
      </c>
      <c r="P47" s="29" t="n">
        <f aca="false">E47</f>
        <v>27</v>
      </c>
      <c r="Q47" s="30" t="n">
        <f aca="false">O47*P47</f>
        <v>0</v>
      </c>
      <c r="R47" s="30" t="n">
        <f aca="false">Q47*C47</f>
        <v>0</v>
      </c>
      <c r="S47" s="30" t="n">
        <f aca="false">R47/1.1</f>
        <v>0</v>
      </c>
      <c r="T47" s="31" t="n">
        <v>0</v>
      </c>
      <c r="U47" s="32" t="n">
        <v>17</v>
      </c>
      <c r="V47" s="27" t="n">
        <f aca="false">T47*U47</f>
        <v>0</v>
      </c>
      <c r="W47" s="30" t="n">
        <f aca="false">V47*Y47</f>
        <v>0</v>
      </c>
      <c r="X47" s="30" t="n">
        <f aca="false">W47/1.1</f>
        <v>0</v>
      </c>
      <c r="Y47" s="33" t="n">
        <v>12</v>
      </c>
      <c r="Z47" s="34"/>
      <c r="AA47" s="35"/>
      <c r="AB47" s="30" t="n">
        <f aca="false">+S47+N47+H47+X47</f>
        <v>40352.7272727273</v>
      </c>
      <c r="AK47" s="73" t="n">
        <f aca="false">B47</f>
        <v>47119</v>
      </c>
      <c r="AL47" s="74" t="n">
        <f aca="false">AB47/AB$52</f>
        <v>0.0811825125098762</v>
      </c>
    </row>
    <row r="48" customFormat="false" ht="15" hidden="false" customHeight="true" outlineLevel="0" collapsed="false">
      <c r="B48" s="21" t="n">
        <f aca="false">EDATE(B15,24)</f>
        <v>47150</v>
      </c>
      <c r="C48" s="22" t="n">
        <v>15</v>
      </c>
      <c r="D48" s="22" t="n">
        <v>28</v>
      </c>
      <c r="E48" s="70" t="n">
        <v>27</v>
      </c>
      <c r="F48" s="30" t="n">
        <f aca="false">D48*E48</f>
        <v>756</v>
      </c>
      <c r="G48" s="30" t="n">
        <f aca="false">F48*C48</f>
        <v>11340</v>
      </c>
      <c r="H48" s="30" t="n">
        <f aca="false">G48/1.1</f>
        <v>10309.0909090909</v>
      </c>
      <c r="I48" s="22" t="n">
        <v>15</v>
      </c>
      <c r="J48" s="22" t="n">
        <v>24</v>
      </c>
      <c r="K48" s="70" t="n">
        <v>54</v>
      </c>
      <c r="L48" s="30" t="n">
        <f aca="false">J48*K48</f>
        <v>1296</v>
      </c>
      <c r="M48" s="30" t="n">
        <f aca="false">I48*L48</f>
        <v>19440</v>
      </c>
      <c r="N48" s="30" t="n">
        <f aca="false">M48/1.1</f>
        <v>17672.7272727273</v>
      </c>
      <c r="O48" s="28" t="n">
        <f aca="false">ROUND(20*AD48,0)</f>
        <v>0</v>
      </c>
      <c r="P48" s="29" t="n">
        <f aca="false">E48</f>
        <v>27</v>
      </c>
      <c r="Q48" s="30" t="n">
        <f aca="false">O48*P48</f>
        <v>0</v>
      </c>
      <c r="R48" s="30" t="n">
        <f aca="false">Q48*C48</f>
        <v>0</v>
      </c>
      <c r="S48" s="30" t="n">
        <f aca="false">R48/1.1</f>
        <v>0</v>
      </c>
      <c r="T48" s="31" t="n">
        <v>0</v>
      </c>
      <c r="U48" s="32" t="n">
        <v>17</v>
      </c>
      <c r="V48" s="27" t="n">
        <f aca="false">T48*U48</f>
        <v>0</v>
      </c>
      <c r="W48" s="30" t="n">
        <f aca="false">V48*Y48</f>
        <v>0</v>
      </c>
      <c r="X48" s="30" t="n">
        <f aca="false">W48/1.1</f>
        <v>0</v>
      </c>
      <c r="Y48" s="33" t="n">
        <v>9</v>
      </c>
      <c r="Z48" s="34"/>
      <c r="AA48" s="35"/>
      <c r="AB48" s="30" t="n">
        <f aca="false">+S48+N48+H48+X48</f>
        <v>27981.8181818182</v>
      </c>
      <c r="AK48" s="73" t="n">
        <f aca="false">B48</f>
        <v>47150</v>
      </c>
      <c r="AL48" s="74" t="n">
        <f aca="false">AB48/AB$52</f>
        <v>0.056294442981301</v>
      </c>
    </row>
    <row r="49" customFormat="false" ht="15" hidden="false" customHeight="true" outlineLevel="0" collapsed="false">
      <c r="B49" s="21" t="n">
        <f aca="false">EDATE(B16,24)</f>
        <v>47178</v>
      </c>
      <c r="C49" s="22" t="n">
        <v>23</v>
      </c>
      <c r="D49" s="22" t="n">
        <v>28</v>
      </c>
      <c r="E49" s="70" t="n">
        <v>27</v>
      </c>
      <c r="F49" s="30" t="n">
        <f aca="false">D49*E49</f>
        <v>756</v>
      </c>
      <c r="G49" s="30" t="n">
        <f aca="false">F49*C49</f>
        <v>17388</v>
      </c>
      <c r="H49" s="30" t="n">
        <f aca="false">G49/1.1</f>
        <v>15807.2727272727</v>
      </c>
      <c r="I49" s="22" t="n">
        <v>23</v>
      </c>
      <c r="J49" s="22" t="n">
        <v>24</v>
      </c>
      <c r="K49" s="70" t="n">
        <v>54</v>
      </c>
      <c r="L49" s="30" t="n">
        <f aca="false">J49*K49</f>
        <v>1296</v>
      </c>
      <c r="M49" s="30" t="n">
        <f aca="false">I49*L49</f>
        <v>29808</v>
      </c>
      <c r="N49" s="30" t="n">
        <f aca="false">M49/1.1</f>
        <v>27098.1818181818</v>
      </c>
      <c r="O49" s="28" t="n">
        <f aca="false">ROUND(20*AD49,0)</f>
        <v>10</v>
      </c>
      <c r="P49" s="29" t="n">
        <f aca="false">E49</f>
        <v>27</v>
      </c>
      <c r="Q49" s="30" t="n">
        <f aca="false">O49*P49</f>
        <v>270</v>
      </c>
      <c r="R49" s="30" t="n">
        <f aca="false">Q49*C49</f>
        <v>6210</v>
      </c>
      <c r="S49" s="30" t="n">
        <f aca="false">R49/1.1</f>
        <v>5645.45454545455</v>
      </c>
      <c r="T49" s="31" t="n">
        <v>0</v>
      </c>
      <c r="U49" s="32" t="n">
        <v>17</v>
      </c>
      <c r="V49" s="27" t="n">
        <f aca="false">T49*U49</f>
        <v>0</v>
      </c>
      <c r="W49" s="30" t="n">
        <f aca="false">V49*Y49</f>
        <v>0</v>
      </c>
      <c r="X49" s="30" t="n">
        <f aca="false">W49/1.1</f>
        <v>0</v>
      </c>
      <c r="Y49" s="33" t="n">
        <v>15</v>
      </c>
      <c r="Z49" s="34"/>
      <c r="AA49" s="35"/>
      <c r="AB49" s="30" t="n">
        <f aca="false">+S49+N49+H49+X49</f>
        <v>48550.9090909091</v>
      </c>
      <c r="AD49" s="71" t="n">
        <v>0.5</v>
      </c>
      <c r="AK49" s="73" t="n">
        <f aca="false">B49</f>
        <v>47178</v>
      </c>
      <c r="AL49" s="74" t="n">
        <f aca="false">AB49/AB$52</f>
        <v>0.0976757966815907</v>
      </c>
    </row>
    <row r="50" customFormat="false" ht="15" hidden="false" customHeight="true" outlineLevel="0" collapsed="false">
      <c r="B50" s="21" t="n">
        <f aca="false">EDATE(B17,24)</f>
        <v>47209</v>
      </c>
      <c r="C50" s="22" t="n">
        <v>21</v>
      </c>
      <c r="D50" s="22" t="n">
        <v>28</v>
      </c>
      <c r="E50" s="70" t="n">
        <v>27</v>
      </c>
      <c r="F50" s="30" t="n">
        <f aca="false">D50*E50</f>
        <v>756</v>
      </c>
      <c r="G50" s="30" t="n">
        <f aca="false">F50*C50</f>
        <v>15876</v>
      </c>
      <c r="H50" s="30" t="n">
        <f aca="false">G50/1.1</f>
        <v>14432.7272727273</v>
      </c>
      <c r="I50" s="22" t="n">
        <v>20</v>
      </c>
      <c r="J50" s="22" t="n">
        <v>24</v>
      </c>
      <c r="K50" s="70" t="n">
        <v>54</v>
      </c>
      <c r="L50" s="30" t="n">
        <f aca="false">J50*K50</f>
        <v>1296</v>
      </c>
      <c r="M50" s="30" t="n">
        <f aca="false">I50*L50</f>
        <v>25920</v>
      </c>
      <c r="N50" s="30" t="n">
        <f aca="false">M50/1.1</f>
        <v>23563.6363636364</v>
      </c>
      <c r="O50" s="28" t="n">
        <f aca="false">ROUND(20*AD50,0)</f>
        <v>11</v>
      </c>
      <c r="P50" s="29" t="n">
        <f aca="false">E50</f>
        <v>27</v>
      </c>
      <c r="Q50" s="30" t="n">
        <f aca="false">O50*P50</f>
        <v>297</v>
      </c>
      <c r="R50" s="30" t="n">
        <f aca="false">Q50*C50</f>
        <v>6237</v>
      </c>
      <c r="S50" s="30" t="n">
        <f aca="false">R50/1.1</f>
        <v>5670</v>
      </c>
      <c r="T50" s="31" t="n">
        <v>0</v>
      </c>
      <c r="U50" s="32" t="n">
        <v>17</v>
      </c>
      <c r="V50" s="27" t="n">
        <f aca="false">T50*U50</f>
        <v>0</v>
      </c>
      <c r="W50" s="30" t="n">
        <f aca="false">V50*Y50</f>
        <v>0</v>
      </c>
      <c r="X50" s="30" t="n">
        <f aca="false">W50/1.1</f>
        <v>0</v>
      </c>
      <c r="Y50" s="33" t="n">
        <v>12</v>
      </c>
      <c r="Z50" s="34"/>
      <c r="AA50" s="35"/>
      <c r="AB50" s="30" t="n">
        <f aca="false">+S50+N50+H50+X50</f>
        <v>43666.3636363636</v>
      </c>
      <c r="AD50" s="71" t="n">
        <v>0.55</v>
      </c>
      <c r="AK50" s="73" t="n">
        <f aca="false">B50</f>
        <v>47209</v>
      </c>
      <c r="AL50" s="74" t="n">
        <f aca="false">AB50/AB$52</f>
        <v>0.0878489597050303</v>
      </c>
    </row>
    <row r="51" customFormat="false" ht="15" hidden="false" customHeight="true" outlineLevel="0" collapsed="false">
      <c r="B51" s="21" t="n">
        <f aca="false">EDATE(B18,24)</f>
        <v>47239</v>
      </c>
      <c r="C51" s="22" t="n">
        <v>22</v>
      </c>
      <c r="D51" s="22" t="n">
        <v>28</v>
      </c>
      <c r="E51" s="70" t="n">
        <v>27</v>
      </c>
      <c r="F51" s="30" t="n">
        <f aca="false">D51*E51</f>
        <v>756</v>
      </c>
      <c r="G51" s="30" t="n">
        <f aca="false">F51*C51</f>
        <v>16632</v>
      </c>
      <c r="H51" s="30" t="n">
        <f aca="false">G51/1.1</f>
        <v>15120</v>
      </c>
      <c r="I51" s="22" t="n">
        <v>22</v>
      </c>
      <c r="J51" s="22" t="n">
        <v>24</v>
      </c>
      <c r="K51" s="70" t="n">
        <v>54</v>
      </c>
      <c r="L51" s="30" t="n">
        <f aca="false">J51*K51</f>
        <v>1296</v>
      </c>
      <c r="M51" s="30" t="n">
        <f aca="false">I51*L51</f>
        <v>28512</v>
      </c>
      <c r="N51" s="30" t="n">
        <f aca="false">M51/1.1</f>
        <v>25920</v>
      </c>
      <c r="O51" s="28" t="n">
        <f aca="false">ROUND(20*AD51,0)</f>
        <v>14</v>
      </c>
      <c r="P51" s="29" t="n">
        <f aca="false">E51</f>
        <v>27</v>
      </c>
      <c r="Q51" s="30" t="n">
        <f aca="false">O51*P51</f>
        <v>378</v>
      </c>
      <c r="R51" s="30" t="n">
        <f aca="false">Q51*C51</f>
        <v>8316</v>
      </c>
      <c r="S51" s="30" t="n">
        <f aca="false">R51/1.1</f>
        <v>7560</v>
      </c>
      <c r="T51" s="31" t="n">
        <v>9</v>
      </c>
      <c r="U51" s="32" t="n">
        <v>17</v>
      </c>
      <c r="V51" s="27" t="n">
        <f aca="false">T51*U51</f>
        <v>153</v>
      </c>
      <c r="W51" s="30" t="n">
        <f aca="false">V51*Y51</f>
        <v>1989</v>
      </c>
      <c r="X51" s="30" t="n">
        <f aca="false">W51/1.1</f>
        <v>1808.18181818182</v>
      </c>
      <c r="Y51" s="33" t="n">
        <v>13</v>
      </c>
      <c r="Z51" s="34"/>
      <c r="AA51" s="35"/>
      <c r="AB51" s="30" t="n">
        <f aca="false">+S51+N51+H51+X51</f>
        <v>50408.1818181818</v>
      </c>
      <c r="AD51" s="71" t="n">
        <v>0.7</v>
      </c>
      <c r="AK51" s="73" t="n">
        <f aca="false">B51</f>
        <v>47239</v>
      </c>
      <c r="AL51" s="74" t="n">
        <f aca="false">AB51/AB$52</f>
        <v>0.101412299183566</v>
      </c>
    </row>
    <row r="52" customFormat="false" ht="15" hidden="false" customHeight="true" outlineLevel="0" collapsed="false">
      <c r="B52" s="54" t="s">
        <v>24</v>
      </c>
      <c r="C52" s="55" t="n">
        <f aca="false">SUM(C40:C51)</f>
        <v>239</v>
      </c>
      <c r="D52" s="56"/>
      <c r="E52" s="57"/>
      <c r="F52" s="58"/>
      <c r="G52" s="61" t="n">
        <f aca="false">SUM(G40:G51)</f>
        <v>180684</v>
      </c>
      <c r="H52" s="61" t="n">
        <f aca="false">SUM(H40:H51)</f>
        <v>164258.181818182</v>
      </c>
      <c r="I52" s="55" t="n">
        <f aca="false">SUM(I40:I51)</f>
        <v>239</v>
      </c>
      <c r="J52" s="56"/>
      <c r="K52" s="57"/>
      <c r="L52" s="58"/>
      <c r="M52" s="61" t="n">
        <f aca="false">SUM(M40:M51)</f>
        <v>309744</v>
      </c>
      <c r="N52" s="61" t="n">
        <f aca="false">SUM(N40:N51)</f>
        <v>281585.454545455</v>
      </c>
      <c r="O52" s="60"/>
      <c r="P52" s="57"/>
      <c r="Q52" s="58"/>
      <c r="R52" s="61" t="n">
        <f aca="false">SUM(R40:R51)</f>
        <v>47007</v>
      </c>
      <c r="S52" s="61" t="n">
        <f aca="false">SUM(S40:S51)</f>
        <v>42733.6363636364</v>
      </c>
      <c r="T52" s="60"/>
      <c r="U52" s="60"/>
      <c r="V52" s="57"/>
      <c r="W52" s="61" t="n">
        <f aca="false">SUM(W40:W51)</f>
        <v>9333</v>
      </c>
      <c r="X52" s="61" t="n">
        <f aca="false">SUM(X40:X51)</f>
        <v>8484.54545454545</v>
      </c>
      <c r="Y52" s="62"/>
      <c r="Z52" s="63"/>
      <c r="AA52" s="62"/>
      <c r="AB52" s="64" t="n">
        <f aca="false">SUM(AB40:AB51)</f>
        <v>497061.818181818</v>
      </c>
    </row>
  </sheetData>
  <mergeCells count="26">
    <mergeCell ref="B5:B6"/>
    <mergeCell ref="C5:C6"/>
    <mergeCell ref="D5:H5"/>
    <mergeCell ref="I5:I6"/>
    <mergeCell ref="J5:N5"/>
    <mergeCell ref="O5:S5"/>
    <mergeCell ref="T5:X5"/>
    <mergeCell ref="AB5:AB6"/>
    <mergeCell ref="AF5:AG5"/>
    <mergeCell ref="AL5:AL6"/>
    <mergeCell ref="B22:B23"/>
    <mergeCell ref="C22:C23"/>
    <mergeCell ref="D22:H22"/>
    <mergeCell ref="I22:I23"/>
    <mergeCell ref="J22:N22"/>
    <mergeCell ref="O22:S22"/>
    <mergeCell ref="T22:X22"/>
    <mergeCell ref="AB22:AB23"/>
    <mergeCell ref="B38:B39"/>
    <mergeCell ref="C38:C39"/>
    <mergeCell ref="D38:H38"/>
    <mergeCell ref="I38:I39"/>
    <mergeCell ref="J38:N38"/>
    <mergeCell ref="O38:S38"/>
    <mergeCell ref="T38:X38"/>
    <mergeCell ref="AB38:AB39"/>
  </mergeCells>
  <printOptions headings="false" gridLines="false" gridLinesSet="true" horizontalCentered="false" verticalCentered="false"/>
  <pageMargins left="0" right="0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F3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46"/>
    <col collapsed="false" customWidth="true" hidden="false" outlineLevel="0" max="5" min="3" style="1" width="16"/>
    <col collapsed="false" customWidth="true" hidden="false" outlineLevel="0" max="6" min="6" style="1" width="64"/>
  </cols>
  <sheetData>
    <row r="2" customFormat="false" ht="15" hidden="false" customHeight="true" outlineLevel="0" collapsed="false">
      <c r="B2" s="75" t="s">
        <v>27</v>
      </c>
    </row>
    <row r="3" customFormat="false" ht="30" hidden="false" customHeight="true" outlineLevel="0" collapsed="false">
      <c r="B3" s="76" t="s">
        <v>28</v>
      </c>
      <c r="C3" s="76"/>
      <c r="D3" s="76"/>
      <c r="E3" s="76"/>
      <c r="F3" s="76"/>
    </row>
    <row r="5" customFormat="false" ht="15" hidden="false" customHeight="true" outlineLevel="0" collapsed="false">
      <c r="B5" s="77" t="s">
        <v>29</v>
      </c>
      <c r="C5" s="77"/>
      <c r="D5" s="77"/>
      <c r="E5" s="77"/>
      <c r="F5" s="77"/>
    </row>
    <row r="6" customFormat="false" ht="24" hidden="false" customHeight="true" outlineLevel="0" collapsed="false">
      <c r="B6" s="78" t="s">
        <v>30</v>
      </c>
      <c r="C6" s="79" t="s">
        <v>31</v>
      </c>
      <c r="D6" s="80"/>
      <c r="E6" s="80"/>
      <c r="F6" s="81" t="s">
        <v>32</v>
      </c>
    </row>
    <row r="7" customFormat="false" ht="25.5" hidden="false" customHeight="true" outlineLevel="0" collapsed="false">
      <c r="B7" s="78" t="s">
        <v>33</v>
      </c>
      <c r="C7" s="79" t="s">
        <v>34</v>
      </c>
      <c r="D7" s="80"/>
      <c r="E7" s="80"/>
      <c r="F7" s="81" t="s">
        <v>35</v>
      </c>
    </row>
    <row r="8" customFormat="false" ht="25.5" hidden="false" customHeight="true" outlineLevel="0" collapsed="false">
      <c r="B8" s="78" t="s">
        <v>36</v>
      </c>
      <c r="C8" s="79" t="s">
        <v>37</v>
      </c>
      <c r="D8" s="80"/>
      <c r="E8" s="80"/>
      <c r="F8" s="81" t="s">
        <v>38</v>
      </c>
    </row>
    <row r="9" customFormat="false" ht="25.5" hidden="false" customHeight="true" outlineLevel="0" collapsed="false">
      <c r="B9" s="78" t="s">
        <v>39</v>
      </c>
      <c r="C9" s="79" t="s">
        <v>40</v>
      </c>
      <c r="D9" s="80"/>
      <c r="E9" s="80"/>
      <c r="F9" s="81" t="s">
        <v>41</v>
      </c>
    </row>
    <row r="11" customFormat="false" ht="15" hidden="false" customHeight="true" outlineLevel="0" collapsed="false">
      <c r="B11" s="77" t="s">
        <v>42</v>
      </c>
      <c r="C11" s="77" t="s">
        <v>43</v>
      </c>
      <c r="D11" s="77" t="s">
        <v>22</v>
      </c>
      <c r="E11" s="77" t="s">
        <v>23</v>
      </c>
      <c r="F11" s="77"/>
    </row>
    <row r="12" customFormat="false" ht="39" hidden="false" customHeight="true" outlineLevel="0" collapsed="false">
      <c r="B12" s="78" t="s">
        <v>44</v>
      </c>
      <c r="C12" s="79" t="s">
        <v>45</v>
      </c>
      <c r="D12" s="80" t="s">
        <v>46</v>
      </c>
      <c r="E12" s="80" t="s">
        <v>47</v>
      </c>
      <c r="F12" s="81" t="s">
        <v>48</v>
      </c>
    </row>
    <row r="13" customFormat="false" ht="39" hidden="false" customHeight="true" outlineLevel="0" collapsed="false">
      <c r="B13" s="78" t="s">
        <v>49</v>
      </c>
      <c r="C13" s="79" t="s">
        <v>50</v>
      </c>
      <c r="D13" s="80" t="s">
        <v>51</v>
      </c>
      <c r="E13" s="80" t="s">
        <v>52</v>
      </c>
      <c r="F13" s="81" t="s">
        <v>53</v>
      </c>
    </row>
    <row r="14" customFormat="false" ht="24" hidden="false" customHeight="true" outlineLevel="0" collapsed="false">
      <c r="B14" s="78" t="s">
        <v>54</v>
      </c>
      <c r="C14" s="79" t="s">
        <v>45</v>
      </c>
      <c r="D14" s="80" t="s">
        <v>46</v>
      </c>
      <c r="E14" s="80" t="s">
        <v>47</v>
      </c>
      <c r="F14" s="81" t="s">
        <v>55</v>
      </c>
    </row>
    <row r="15" customFormat="false" ht="25.5" hidden="false" customHeight="true" outlineLevel="0" collapsed="false">
      <c r="B15" s="78" t="s">
        <v>56</v>
      </c>
      <c r="C15" s="79" t="s">
        <v>57</v>
      </c>
      <c r="D15" s="80" t="s">
        <v>58</v>
      </c>
      <c r="E15" s="80" t="s">
        <v>59</v>
      </c>
      <c r="F15" s="81" t="s">
        <v>60</v>
      </c>
    </row>
    <row r="17" customFormat="false" ht="24" hidden="false" customHeight="true" outlineLevel="0" collapsed="false">
      <c r="B17" s="78" t="s">
        <v>61</v>
      </c>
      <c r="C17" s="79" t="s">
        <v>43</v>
      </c>
      <c r="D17" s="80" t="s">
        <v>22</v>
      </c>
      <c r="E17" s="80" t="s">
        <v>23</v>
      </c>
      <c r="F17" s="81"/>
    </row>
    <row r="18" customFormat="false" ht="25.5" hidden="false" customHeight="true" outlineLevel="0" collapsed="false">
      <c r="B18" s="78" t="s">
        <v>62</v>
      </c>
      <c r="C18" s="79" t="s">
        <v>63</v>
      </c>
      <c r="D18" s="80" t="s">
        <v>64</v>
      </c>
      <c r="E18" s="80" t="s">
        <v>65</v>
      </c>
      <c r="F18" s="81" t="s">
        <v>66</v>
      </c>
    </row>
    <row r="19" customFormat="false" ht="25.5" hidden="false" customHeight="true" outlineLevel="0" collapsed="false">
      <c r="B19" s="78" t="s">
        <v>67</v>
      </c>
      <c r="C19" s="79" t="s">
        <v>68</v>
      </c>
      <c r="D19" s="80" t="s">
        <v>69</v>
      </c>
      <c r="E19" s="80" t="s">
        <v>70</v>
      </c>
      <c r="F19" s="81" t="s">
        <v>71</v>
      </c>
    </row>
    <row r="20" customFormat="false" ht="25.5" hidden="false" customHeight="true" outlineLevel="0" collapsed="false">
      <c r="B20" s="78" t="s">
        <v>72</v>
      </c>
      <c r="C20" s="79" t="s">
        <v>73</v>
      </c>
      <c r="D20" s="80" t="s">
        <v>69</v>
      </c>
      <c r="E20" s="80" t="s">
        <v>70</v>
      </c>
      <c r="F20" s="81" t="s">
        <v>74</v>
      </c>
    </row>
    <row r="21" customFormat="false" ht="25.5" hidden="false" customHeight="true" outlineLevel="0" collapsed="false">
      <c r="B21" s="78" t="s">
        <v>75</v>
      </c>
      <c r="C21" s="79" t="s">
        <v>76</v>
      </c>
      <c r="D21" s="80" t="s">
        <v>77</v>
      </c>
      <c r="E21" s="80" t="s">
        <v>78</v>
      </c>
      <c r="F21" s="81" t="s">
        <v>79</v>
      </c>
    </row>
    <row r="23" customFormat="false" ht="24" hidden="false" customHeight="true" outlineLevel="0" collapsed="false">
      <c r="B23" s="78" t="s">
        <v>80</v>
      </c>
      <c r="C23" s="79" t="s">
        <v>43</v>
      </c>
      <c r="D23" s="80" t="s">
        <v>22</v>
      </c>
      <c r="E23" s="80" t="s">
        <v>23</v>
      </c>
      <c r="F23" s="81"/>
    </row>
    <row r="24" customFormat="false" ht="25.5" hidden="false" customHeight="true" outlineLevel="0" collapsed="false">
      <c r="B24" s="78" t="s">
        <v>81</v>
      </c>
      <c r="C24" s="79" t="s">
        <v>82</v>
      </c>
      <c r="D24" s="80" t="s">
        <v>83</v>
      </c>
      <c r="E24" s="80" t="s">
        <v>84</v>
      </c>
      <c r="F24" s="81" t="s">
        <v>85</v>
      </c>
    </row>
    <row r="25" customFormat="false" ht="51.75" hidden="false" customHeight="true" outlineLevel="0" collapsed="false">
      <c r="B25" s="78" t="s">
        <v>86</v>
      </c>
      <c r="C25" s="79"/>
      <c r="D25" s="80"/>
      <c r="E25" s="80"/>
      <c r="F25" s="81" t="s">
        <v>87</v>
      </c>
    </row>
    <row r="26" customFormat="false" ht="39" hidden="false" customHeight="true" outlineLevel="0" collapsed="false">
      <c r="B26" s="78" t="s">
        <v>88</v>
      </c>
      <c r="C26" s="79"/>
      <c r="D26" s="80"/>
      <c r="E26" s="80"/>
      <c r="F26" s="81" t="s">
        <v>89</v>
      </c>
    </row>
    <row r="28" customFormat="false" ht="24" hidden="false" customHeight="true" outlineLevel="0" collapsed="false">
      <c r="B28" s="78" t="s">
        <v>90</v>
      </c>
      <c r="C28" s="79"/>
      <c r="D28" s="80"/>
      <c r="E28" s="80"/>
      <c r="F28" s="81"/>
    </row>
    <row r="29" customFormat="false" ht="51.75" hidden="false" customHeight="true" outlineLevel="0" collapsed="false">
      <c r="B29" s="78" t="s">
        <v>91</v>
      </c>
      <c r="C29" s="79"/>
      <c r="D29" s="80"/>
      <c r="E29" s="80"/>
      <c r="F29" s="81" t="s">
        <v>92</v>
      </c>
    </row>
    <row r="30" customFormat="false" ht="51.75" hidden="false" customHeight="true" outlineLevel="0" collapsed="false">
      <c r="B30" s="78" t="s">
        <v>93</v>
      </c>
      <c r="C30" s="79"/>
      <c r="D30" s="80"/>
      <c r="E30" s="80"/>
      <c r="F30" s="81" t="s">
        <v>94</v>
      </c>
    </row>
    <row r="31" customFormat="false" ht="25.5" hidden="false" customHeight="true" outlineLevel="0" collapsed="false">
      <c r="B31" s="78" t="s">
        <v>95</v>
      </c>
      <c r="C31" s="79"/>
      <c r="D31" s="80"/>
      <c r="E31" s="80"/>
      <c r="F31" s="81" t="s">
        <v>96</v>
      </c>
    </row>
    <row r="32" customFormat="false" ht="39" hidden="false" customHeight="true" outlineLevel="0" collapsed="false">
      <c r="B32" s="78" t="s">
        <v>97</v>
      </c>
      <c r="C32" s="79"/>
      <c r="D32" s="80"/>
      <c r="E32" s="80"/>
      <c r="F32" s="81" t="s">
        <v>98</v>
      </c>
    </row>
  </sheetData>
  <mergeCells count="1">
    <mergeCell ref="B3:F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O3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34"/>
    <col collapsed="false" customWidth="true" hidden="false" outlineLevel="0" max="15" min="3" style="1" width="11.5"/>
  </cols>
  <sheetData>
    <row r="2" customFormat="false" ht="15" hidden="false" customHeight="true" outlineLevel="0" collapsed="false">
      <c r="B2" s="75" t="s">
        <v>99</v>
      </c>
    </row>
    <row r="3" customFormat="false" ht="57.75" hidden="false" customHeight="true" outlineLevel="0" collapsed="false">
      <c r="B3" s="76" t="s">
        <v>100</v>
      </c>
      <c r="C3" s="76"/>
      <c r="D3" s="76"/>
      <c r="E3" s="76"/>
      <c r="F3" s="76"/>
      <c r="G3" s="76"/>
      <c r="H3" s="76"/>
      <c r="I3" s="76"/>
      <c r="J3" s="76"/>
    </row>
    <row r="5" customFormat="false" ht="15" hidden="false" customHeight="true" outlineLevel="0" collapsed="false">
      <c r="B5" s="77" t="s">
        <v>101</v>
      </c>
      <c r="C5" s="77"/>
      <c r="D5" s="77"/>
      <c r="E5" s="77"/>
      <c r="F5" s="77"/>
      <c r="G5" s="77"/>
      <c r="H5" s="77"/>
      <c r="I5" s="77"/>
      <c r="J5" s="77"/>
    </row>
    <row r="6" customFormat="false" ht="15" hidden="false" customHeight="true" outlineLevel="0" collapsed="false">
      <c r="B6" s="82" t="s">
        <v>102</v>
      </c>
      <c r="C6" s="83" t="n">
        <v>0.85</v>
      </c>
      <c r="F6" s="84" t="s">
        <v>103</v>
      </c>
    </row>
    <row r="7" customFormat="false" ht="15" hidden="false" customHeight="true" outlineLevel="0" collapsed="false">
      <c r="B7" s="82" t="s">
        <v>104</v>
      </c>
      <c r="C7" s="85" t="n">
        <f aca="false">1-C6</f>
        <v>0.15</v>
      </c>
      <c r="F7" s="84" t="s">
        <v>105</v>
      </c>
    </row>
    <row r="9" customFormat="false" ht="15" hidden="false" customHeight="true" outlineLevel="0" collapsed="false">
      <c r="B9" s="77" t="s">
        <v>106</v>
      </c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</row>
    <row r="10" customFormat="false" ht="15" hidden="false" customHeight="true" outlineLevel="0" collapsed="false">
      <c r="B10" s="86" t="s">
        <v>107</v>
      </c>
      <c r="C10" s="86" t="s">
        <v>108</v>
      </c>
      <c r="D10" s="86" t="s">
        <v>109</v>
      </c>
      <c r="E10" s="86" t="s">
        <v>110</v>
      </c>
      <c r="F10" s="86" t="s">
        <v>111</v>
      </c>
      <c r="G10" s="86" t="s">
        <v>112</v>
      </c>
      <c r="H10" s="86" t="s">
        <v>113</v>
      </c>
      <c r="I10" s="86" t="s">
        <v>114</v>
      </c>
      <c r="J10" s="86" t="s">
        <v>115</v>
      </c>
      <c r="K10" s="86" t="s">
        <v>116</v>
      </c>
      <c r="L10" s="86" t="s">
        <v>117</v>
      </c>
      <c r="M10" s="86" t="s">
        <v>118</v>
      </c>
      <c r="N10" s="86" t="s">
        <v>119</v>
      </c>
    </row>
    <row r="11" customFormat="false" ht="15" hidden="false" customHeight="true" outlineLevel="0" collapsed="false">
      <c r="B11" s="87" t="s">
        <v>120</v>
      </c>
      <c r="C11" s="87" t="s">
        <v>121</v>
      </c>
      <c r="D11" s="88" t="n">
        <f aca="false">ROUND('CAHT- Année 1'!AB20*1.1*C6/1.1,0)</f>
        <v>326508</v>
      </c>
      <c r="E11" s="88" t="n">
        <f aca="false">ROUND('CAHT- Année 1'!AB36*1.1*C6/1.1,0)</f>
        <v>380282</v>
      </c>
      <c r="F11" s="88" t="n">
        <f aca="false">ROUND('CAHT- Année 1'!AB52*1.1*C6/1.1,0)</f>
        <v>422503</v>
      </c>
      <c r="G11" s="89" t="n">
        <f aca="false">ROUND(E11/D11-1,3)</f>
        <v>0.165</v>
      </c>
      <c r="H11" s="89" t="n">
        <f aca="false">ROUND(F11/E11-1,3)</f>
        <v>0.111</v>
      </c>
      <c r="I11" s="90" t="n">
        <v>0.7</v>
      </c>
      <c r="J11" s="91" t="n">
        <v>15</v>
      </c>
      <c r="K11" s="91" t="n">
        <v>0</v>
      </c>
      <c r="L11" s="91" t="n">
        <v>30</v>
      </c>
      <c r="M11" s="90" t="n">
        <v>0.1</v>
      </c>
      <c r="N11" s="92" t="n">
        <v>0.055</v>
      </c>
    </row>
    <row r="12" customFormat="false" ht="15" hidden="false" customHeight="true" outlineLevel="0" collapsed="false">
      <c r="B12" s="87" t="s">
        <v>122</v>
      </c>
      <c r="C12" s="87" t="s">
        <v>121</v>
      </c>
      <c r="D12" s="88" t="n">
        <f aca="false">ROUND('CAHT- Année 1'!AB20*1.1*C7/1.2,0)</f>
        <v>52818</v>
      </c>
      <c r="E12" s="88" t="n">
        <f aca="false">ROUND('CAHT- Année 1'!AB36*1.1*C7/1.2,0)</f>
        <v>61516</v>
      </c>
      <c r="F12" s="88" t="n">
        <f aca="false">ROUND('CAHT- Année 1'!AB52*1.1*C7/1.2,0)</f>
        <v>68346</v>
      </c>
      <c r="G12" s="89" t="n">
        <f aca="false">ROUND(E12/D12-1,3)</f>
        <v>0.165</v>
      </c>
      <c r="H12" s="89" t="n">
        <f aca="false">ROUND(F12/E12-1,3)</f>
        <v>0.111</v>
      </c>
      <c r="I12" s="90" t="n">
        <v>0.78</v>
      </c>
      <c r="J12" s="91" t="n">
        <v>15</v>
      </c>
      <c r="K12" s="91" t="n">
        <v>0</v>
      </c>
      <c r="L12" s="91" t="n">
        <v>30</v>
      </c>
      <c r="M12" s="90" t="n">
        <v>0.2</v>
      </c>
      <c r="N12" s="92" t="n">
        <v>0.2</v>
      </c>
    </row>
    <row r="13" customFormat="false" ht="39.75" hidden="false" customHeight="true" outlineLevel="0" collapsed="false">
      <c r="B13" s="82" t="s">
        <v>123</v>
      </c>
      <c r="D13" s="93" t="n">
        <f aca="false">D11+D12</f>
        <v>379326</v>
      </c>
      <c r="E13" s="93" t="n">
        <f aca="false">E11+E12</f>
        <v>441798</v>
      </c>
      <c r="F13" s="93" t="n">
        <f aca="false">F11+F12</f>
        <v>490849</v>
      </c>
      <c r="G13" s="76" t="s">
        <v>124</v>
      </c>
      <c r="H13" s="76"/>
      <c r="I13" s="76"/>
      <c r="J13" s="76"/>
      <c r="K13" s="76"/>
      <c r="L13" s="76"/>
      <c r="M13" s="76"/>
    </row>
    <row r="15" customFormat="false" ht="15" hidden="false" customHeight="true" outlineLevel="0" collapsed="false">
      <c r="B15" s="77" t="s">
        <v>125</v>
      </c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</row>
    <row r="16" customFormat="false" ht="15" hidden="false" customHeight="true" outlineLevel="0" collapsed="false">
      <c r="B16" s="94" t="s">
        <v>126</v>
      </c>
    </row>
    <row r="17" customFormat="false" ht="23.25" hidden="false" customHeight="true" outlineLevel="0" collapsed="false">
      <c r="B17" s="87" t="s">
        <v>127</v>
      </c>
      <c r="C17" s="86" t="s">
        <v>128</v>
      </c>
      <c r="D17" s="86" t="s">
        <v>129</v>
      </c>
      <c r="E17" s="86" t="s">
        <v>130</v>
      </c>
      <c r="F17" s="86" t="s">
        <v>131</v>
      </c>
      <c r="G17" s="86" t="s">
        <v>132</v>
      </c>
      <c r="H17" s="86" t="s">
        <v>133</v>
      </c>
      <c r="I17" s="86" t="s">
        <v>134</v>
      </c>
      <c r="J17" s="86" t="s">
        <v>135</v>
      </c>
      <c r="K17" s="86" t="s">
        <v>136</v>
      </c>
      <c r="L17" s="86" t="s">
        <v>137</v>
      </c>
      <c r="M17" s="86" t="s">
        <v>138</v>
      </c>
      <c r="N17" s="86" t="s">
        <v>139</v>
      </c>
    </row>
    <row r="18" customFormat="false" ht="15" hidden="false" customHeight="true" outlineLevel="0" collapsed="false">
      <c r="B18" s="87" t="s">
        <v>140</v>
      </c>
      <c r="C18" s="95" t="n">
        <f aca="false">ROUND('CAHT- Année 1'!AB7*1.1*$C$6/1.1,0)</f>
        <v>27398</v>
      </c>
      <c r="D18" s="95" t="n">
        <f aca="false">ROUND('CAHT- Année 1'!AB8*1.1*$C$6/1.1,0)</f>
        <v>32634</v>
      </c>
      <c r="E18" s="95" t="n">
        <f aca="false">ROUND('CAHT- Année 1'!AB9*1.1*$C$6/1.1,0)</f>
        <v>17000</v>
      </c>
      <c r="F18" s="95" t="n">
        <f aca="false">ROUND('CAHT- Année 1'!AB10*1.1*$C$6/1.1,0)</f>
        <v>31336</v>
      </c>
      <c r="G18" s="95" t="n">
        <f aca="false">ROUND('CAHT- Année 1'!AB11*1.1*$C$6/1.1,0)</f>
        <v>29574</v>
      </c>
      <c r="H18" s="95" t="n">
        <f aca="false">ROUND('CAHT- Année 1'!AB12*1.1*$C$6/1.1,0)</f>
        <v>26199</v>
      </c>
      <c r="I18" s="95" t="n">
        <f aca="false">ROUND('CAHT- Année 1'!AB13*1.1*$C$6/1.1,0)</f>
        <v>23265</v>
      </c>
      <c r="J18" s="95" t="n">
        <f aca="false">ROUND('CAHT- Année 1'!AB14*1.1*$C$6/1.1,0)</f>
        <v>24069</v>
      </c>
      <c r="K18" s="95" t="n">
        <f aca="false">ROUND('CAHT- Année 1'!AB15*1.1*$C$6/1.1,0)</f>
        <v>18082</v>
      </c>
      <c r="L18" s="95" t="n">
        <f aca="false">ROUND('CAHT- Année 1'!AB16*1.1*$C$6/1.1,0)</f>
        <v>30297</v>
      </c>
      <c r="M18" s="95" t="n">
        <f aca="false">ROUND('CAHT- Année 1'!AB17*1.1*$C$6/1.1,0)</f>
        <v>32708</v>
      </c>
      <c r="N18" s="95" t="n">
        <f aca="false">ROUND('CAHT- Année 1'!AB18*1.1*$C$6/1.1,0)</f>
        <v>33947</v>
      </c>
      <c r="O18" s="93" t="n">
        <f aca="false">SUM(C18:N18)</f>
        <v>326509</v>
      </c>
    </row>
    <row r="19" customFormat="false" ht="15" hidden="false" customHeight="true" outlineLevel="0" collapsed="false">
      <c r="B19" s="87" t="s">
        <v>141</v>
      </c>
      <c r="C19" s="95" t="n">
        <f aca="false">ROUND('CAHT- Année 1'!AB7*1.1*$C$7/1.2,0)</f>
        <v>4432</v>
      </c>
      <c r="D19" s="95" t="n">
        <f aca="false">ROUND('CAHT- Année 1'!AB8*1.1*$C$7/1.2,0)</f>
        <v>5279</v>
      </c>
      <c r="E19" s="95" t="n">
        <f aca="false">ROUND('CAHT- Année 1'!AB9*1.1*$C$7/1.2,0)</f>
        <v>2750</v>
      </c>
      <c r="F19" s="95" t="n">
        <f aca="false">ROUND('CAHT- Année 1'!AB10*1.1*$C$7/1.2,0)</f>
        <v>5069</v>
      </c>
      <c r="G19" s="95" t="n">
        <f aca="false">ROUND('CAHT- Année 1'!AB11*1.1*$C$7/1.2,0)</f>
        <v>4784</v>
      </c>
      <c r="H19" s="95" t="n">
        <f aca="false">ROUND('CAHT- Année 1'!AB12*1.1*$C$7/1.2,0)</f>
        <v>4238</v>
      </c>
      <c r="I19" s="95" t="n">
        <f aca="false">ROUND('CAHT- Année 1'!AB13*1.1*$C$7/1.2,0)</f>
        <v>3764</v>
      </c>
      <c r="J19" s="95" t="n">
        <f aca="false">ROUND('CAHT- Année 1'!AB14*1.1*$C$7/1.2,0)</f>
        <v>3894</v>
      </c>
      <c r="K19" s="95" t="n">
        <f aca="false">ROUND('CAHT- Année 1'!AB15*1.1*$C$7/1.2,0)</f>
        <v>2925</v>
      </c>
      <c r="L19" s="95" t="n">
        <f aca="false">ROUND('CAHT- Année 1'!AB16*1.1*$C$7/1.2,0)</f>
        <v>4901</v>
      </c>
      <c r="M19" s="95" t="n">
        <f aca="false">ROUND('CAHT- Année 1'!AB17*1.1*$C$7/1.2,0)</f>
        <v>5291</v>
      </c>
      <c r="N19" s="95" t="n">
        <f aca="false">ROUND('CAHT- Année 1'!AB18*1.1*$C$7/1.2,0)</f>
        <v>5492</v>
      </c>
      <c r="O19" s="93" t="n">
        <f aca="false">SUM(C19:N19)</f>
        <v>52819</v>
      </c>
    </row>
    <row r="20" customFormat="false" ht="15" hidden="false" customHeight="true" outlineLevel="0" collapsed="false">
      <c r="B20" s="87" t="s">
        <v>142</v>
      </c>
      <c r="C20" s="96" t="n">
        <f aca="false">ROUND('CAHT- Année 1'!AB7/'CAHT- Année 1'!AB20*100,1)</f>
        <v>8.4</v>
      </c>
      <c r="D20" s="96" t="n">
        <f aca="false">ROUND('CAHT- Année 1'!AB8/'CAHT- Année 1'!AB20*100,1)</f>
        <v>10</v>
      </c>
      <c r="E20" s="96" t="n">
        <f aca="false">ROUND('CAHT- Année 1'!AB9/'CAHT- Année 1'!AB20*100,1)</f>
        <v>5.2</v>
      </c>
      <c r="F20" s="96" t="n">
        <f aca="false">ROUND('CAHT- Année 1'!AB10/'CAHT- Année 1'!AB20*100,1)</f>
        <v>9.6</v>
      </c>
      <c r="G20" s="96" t="n">
        <f aca="false">ROUND('CAHT- Année 1'!AB11/'CAHT- Année 1'!AB20*100,1)</f>
        <v>9.1</v>
      </c>
      <c r="H20" s="96" t="n">
        <f aca="false">ROUND('CAHT- Année 1'!AB12/'CAHT- Année 1'!AB20*100,1)</f>
        <v>8</v>
      </c>
      <c r="I20" s="96" t="n">
        <f aca="false">ROUND('CAHT- Année 1'!AB13/'CAHT- Année 1'!AB20*100,1)</f>
        <v>7.1</v>
      </c>
      <c r="J20" s="96" t="n">
        <f aca="false">ROUND('CAHT- Année 1'!AB14/'CAHT- Année 1'!AB20*100,1)</f>
        <v>7.4</v>
      </c>
      <c r="K20" s="96" t="n">
        <f aca="false">ROUND('CAHT- Année 1'!AB15/'CAHT- Année 1'!AB20*100,1)</f>
        <v>5.5</v>
      </c>
      <c r="L20" s="96" t="n">
        <f aca="false">ROUND('CAHT- Année 1'!AB16/'CAHT- Année 1'!AB20*100,1)</f>
        <v>9.3</v>
      </c>
      <c r="M20" s="96" t="n">
        <f aca="false">ROUND('CAHT- Année 1'!AB17/'CAHT- Année 1'!AB20*100,1)</f>
        <v>10</v>
      </c>
      <c r="N20" s="96" t="n">
        <f aca="false">100-(C20+D20+E20+F20+G20+H20+I20+J20+K20+L20+M20)</f>
        <v>10.4</v>
      </c>
      <c r="O20" s="97" t="n">
        <f aca="false">SUM(C20:N20)</f>
        <v>100</v>
      </c>
    </row>
    <row r="22" customFormat="false" ht="15" hidden="false" customHeight="true" outlineLevel="0" collapsed="false">
      <c r="B22" s="94" t="s">
        <v>143</v>
      </c>
    </row>
    <row r="23" customFormat="false" ht="23.25" hidden="false" customHeight="true" outlineLevel="0" collapsed="false">
      <c r="B23" s="87" t="s">
        <v>127</v>
      </c>
      <c r="C23" s="86" t="s">
        <v>128</v>
      </c>
      <c r="D23" s="86" t="s">
        <v>129</v>
      </c>
      <c r="E23" s="86" t="s">
        <v>130</v>
      </c>
      <c r="F23" s="86" t="s">
        <v>131</v>
      </c>
      <c r="G23" s="86" t="s">
        <v>132</v>
      </c>
      <c r="H23" s="86" t="s">
        <v>133</v>
      </c>
      <c r="I23" s="86" t="s">
        <v>134</v>
      </c>
      <c r="J23" s="86" t="s">
        <v>135</v>
      </c>
      <c r="K23" s="86" t="s">
        <v>136</v>
      </c>
      <c r="L23" s="86" t="s">
        <v>137</v>
      </c>
      <c r="M23" s="86" t="s">
        <v>138</v>
      </c>
      <c r="N23" s="86" t="s">
        <v>139</v>
      </c>
    </row>
    <row r="24" customFormat="false" ht="15" hidden="false" customHeight="true" outlineLevel="0" collapsed="false">
      <c r="B24" s="87" t="s">
        <v>140</v>
      </c>
      <c r="C24" s="95" t="n">
        <f aca="false">ROUND('CAHT- Année 1'!AB24*1.1*$C$6/1.1,0)</f>
        <v>37817</v>
      </c>
      <c r="D24" s="95" t="n">
        <f aca="false">ROUND('CAHT- Année 1'!AB25*1.1*$C$6/1.1,0)</f>
        <v>39679</v>
      </c>
      <c r="E24" s="95" t="n">
        <f aca="false">ROUND('CAHT- Année 1'!AB26*1.1*$C$6/1.1,0)</f>
        <v>19533</v>
      </c>
      <c r="F24" s="95" t="n">
        <f aca="false">ROUND('CAHT- Année 1'!AB27*1.1*$C$6/1.1,0)</f>
        <v>36916</v>
      </c>
      <c r="G24" s="95" t="n">
        <f aca="false">ROUND('CAHT- Année 1'!AB28*1.1*$C$6/1.1,0)</f>
        <v>32067</v>
      </c>
      <c r="H24" s="95" t="n">
        <f aca="false">ROUND('CAHT- Année 1'!AB29*1.1*$C$6/1.1,0)</f>
        <v>29569</v>
      </c>
      <c r="I24" s="95" t="n">
        <f aca="false">ROUND('CAHT- Année 1'!AB30*1.1*$C$6/1.1,0)</f>
        <v>22935</v>
      </c>
      <c r="J24" s="95" t="n">
        <f aca="false">ROUND('CAHT- Année 1'!AB31*1.1*$C$6/1.1,0)</f>
        <v>29201</v>
      </c>
      <c r="K24" s="95" t="n">
        <f aca="false">ROUND('CAHT- Année 1'!AB32*1.1*$C$6/1.1,0)</f>
        <v>22402</v>
      </c>
      <c r="L24" s="95" t="n">
        <f aca="false">ROUND('CAHT- Année 1'!AB33*1.1*$C$6/1.1,0)</f>
        <v>37207</v>
      </c>
      <c r="M24" s="95" t="n">
        <f aca="false">ROUND('CAHT- Année 1'!AB34*1.1*$C$6/1.1,0)</f>
        <v>35139</v>
      </c>
      <c r="N24" s="95" t="n">
        <f aca="false">ROUND('CAHT- Année 1'!AB35*1.1*$C$6/1.1,0)</f>
        <v>37817</v>
      </c>
      <c r="O24" s="93" t="n">
        <f aca="false">SUM(C24:N24)</f>
        <v>380282</v>
      </c>
    </row>
    <row r="25" customFormat="false" ht="15" hidden="false" customHeight="true" outlineLevel="0" collapsed="false">
      <c r="B25" s="87" t="s">
        <v>141</v>
      </c>
      <c r="C25" s="95" t="n">
        <f aca="false">ROUND('CAHT- Année 1'!AB24*1.1*$C$7/1.2,0)</f>
        <v>6117</v>
      </c>
      <c r="D25" s="95" t="n">
        <f aca="false">ROUND('CAHT- Année 1'!AB25*1.1*$C$7/1.2,0)</f>
        <v>6419</v>
      </c>
      <c r="E25" s="95" t="n">
        <f aca="false">ROUND('CAHT- Année 1'!AB26*1.1*$C$7/1.2,0)</f>
        <v>3160</v>
      </c>
      <c r="F25" s="95" t="n">
        <f aca="false">ROUND('CAHT- Année 1'!AB27*1.1*$C$7/1.2,0)</f>
        <v>5972</v>
      </c>
      <c r="G25" s="95" t="n">
        <f aca="false">ROUND('CAHT- Année 1'!AB28*1.1*$C$7/1.2,0)</f>
        <v>5187</v>
      </c>
      <c r="H25" s="95" t="n">
        <f aca="false">ROUND('CAHT- Année 1'!AB29*1.1*$C$7/1.2,0)</f>
        <v>4783</v>
      </c>
      <c r="I25" s="95" t="n">
        <f aca="false">ROUND('CAHT- Année 1'!AB30*1.1*$C$7/1.2,0)</f>
        <v>3710</v>
      </c>
      <c r="J25" s="95" t="n">
        <f aca="false">ROUND('CAHT- Année 1'!AB31*1.1*$C$7/1.2,0)</f>
        <v>4724</v>
      </c>
      <c r="K25" s="95" t="n">
        <f aca="false">ROUND('CAHT- Année 1'!AB32*1.1*$C$7/1.2,0)</f>
        <v>3624</v>
      </c>
      <c r="L25" s="95" t="n">
        <f aca="false">ROUND('CAHT- Année 1'!AB33*1.1*$C$7/1.2,0)</f>
        <v>6019</v>
      </c>
      <c r="M25" s="95" t="n">
        <f aca="false">ROUND('CAHT- Année 1'!AB34*1.1*$C$7/1.2,0)</f>
        <v>5684</v>
      </c>
      <c r="N25" s="95" t="n">
        <f aca="false">ROUND('CAHT- Année 1'!AB35*1.1*$C$7/1.2,0)</f>
        <v>6117</v>
      </c>
      <c r="O25" s="93" t="n">
        <f aca="false">SUM(C25:N25)</f>
        <v>61516</v>
      </c>
    </row>
    <row r="26" customFormat="false" ht="15" hidden="false" customHeight="true" outlineLevel="0" collapsed="false">
      <c r="B26" s="87" t="s">
        <v>142</v>
      </c>
      <c r="C26" s="96" t="n">
        <f aca="false">ROUND('CAHT- Année 1'!AB24/'CAHT- Année 1'!AB36*100,1)</f>
        <v>9.9</v>
      </c>
      <c r="D26" s="96" t="n">
        <f aca="false">ROUND('CAHT- Année 1'!AB25/'CAHT- Année 1'!AB36*100,1)</f>
        <v>10.4</v>
      </c>
      <c r="E26" s="96" t="n">
        <f aca="false">ROUND('CAHT- Année 1'!AB26/'CAHT- Année 1'!AB36*100,1)</f>
        <v>5.1</v>
      </c>
      <c r="F26" s="96" t="n">
        <f aca="false">ROUND('CAHT- Année 1'!AB27/'CAHT- Année 1'!AB36*100,1)</f>
        <v>9.7</v>
      </c>
      <c r="G26" s="96" t="n">
        <f aca="false">ROUND('CAHT- Année 1'!AB28/'CAHT- Année 1'!AB36*100,1)</f>
        <v>8.4</v>
      </c>
      <c r="H26" s="96" t="n">
        <f aca="false">ROUND('CAHT- Année 1'!AB29/'CAHT- Année 1'!AB36*100,1)</f>
        <v>7.8</v>
      </c>
      <c r="I26" s="96" t="n">
        <f aca="false">ROUND('CAHT- Année 1'!AB30/'CAHT- Année 1'!AB36*100,1)</f>
        <v>6</v>
      </c>
      <c r="J26" s="96" t="n">
        <f aca="false">ROUND('CAHT- Année 1'!AB31/'CAHT- Année 1'!AB36*100,1)</f>
        <v>7.7</v>
      </c>
      <c r="K26" s="96" t="n">
        <f aca="false">ROUND('CAHT- Année 1'!AB32/'CAHT- Année 1'!AB36*100,1)</f>
        <v>5.9</v>
      </c>
      <c r="L26" s="96" t="n">
        <f aca="false">ROUND('CAHT- Année 1'!AB33/'CAHT- Année 1'!AB36*100,1)</f>
        <v>9.8</v>
      </c>
      <c r="M26" s="96" t="n">
        <f aca="false">ROUND('CAHT- Année 1'!AB34/'CAHT- Année 1'!AB36*100,1)</f>
        <v>9.2</v>
      </c>
      <c r="N26" s="96" t="n">
        <f aca="false">100-(C26+D26+E26+F26+G26+H26+I26+J26+K26+L26+M26)</f>
        <v>10.1</v>
      </c>
      <c r="O26" s="97" t="n">
        <f aca="false">SUM(C26:N26)</f>
        <v>100</v>
      </c>
    </row>
    <row r="28" customFormat="false" ht="15" hidden="false" customHeight="true" outlineLevel="0" collapsed="false">
      <c r="B28" s="94" t="s">
        <v>144</v>
      </c>
    </row>
    <row r="29" customFormat="false" ht="23.25" hidden="false" customHeight="true" outlineLevel="0" collapsed="false">
      <c r="B29" s="87" t="s">
        <v>127</v>
      </c>
      <c r="C29" s="86" t="s">
        <v>128</v>
      </c>
      <c r="D29" s="86" t="s">
        <v>129</v>
      </c>
      <c r="E29" s="86" t="s">
        <v>130</v>
      </c>
      <c r="F29" s="86" t="s">
        <v>131</v>
      </c>
      <c r="G29" s="86" t="s">
        <v>132</v>
      </c>
      <c r="H29" s="86" t="s">
        <v>133</v>
      </c>
      <c r="I29" s="86" t="s">
        <v>134</v>
      </c>
      <c r="J29" s="86" t="s">
        <v>135</v>
      </c>
      <c r="K29" s="86" t="s">
        <v>136</v>
      </c>
      <c r="L29" s="86" t="s">
        <v>137</v>
      </c>
      <c r="M29" s="86" t="s">
        <v>138</v>
      </c>
      <c r="N29" s="86" t="s">
        <v>139</v>
      </c>
    </row>
    <row r="30" customFormat="false" ht="15" hidden="false" customHeight="true" outlineLevel="0" collapsed="false">
      <c r="B30" s="87" t="s">
        <v>140</v>
      </c>
      <c r="C30" s="95" t="n">
        <f aca="false">ROUND('CAHT- Année 1'!AB40*1.1*$C$6/1.1,0)</f>
        <v>42965</v>
      </c>
      <c r="D30" s="95" t="n">
        <f aca="false">ROUND('CAHT- Année 1'!AB41*1.1*$C$6/1.1,0)</f>
        <v>40928</v>
      </c>
      <c r="E30" s="95" t="n">
        <f aca="false">ROUND('CAHT- Année 1'!AB42*1.1*$C$6/1.1,0)</f>
        <v>24612</v>
      </c>
      <c r="F30" s="95" t="n">
        <f aca="false">ROUND('CAHT- Année 1'!AB43*1.1*$C$6/1.1,0)</f>
        <v>41129</v>
      </c>
      <c r="G30" s="95" t="n">
        <f aca="false">ROUND('CAHT- Année 1'!AB44*1.1*$C$6/1.1,0)</f>
        <v>33298</v>
      </c>
      <c r="H30" s="95" t="n">
        <f aca="false">ROUND('CAHT- Année 1'!AB45*1.1*$C$6/1.1,0)</f>
        <v>34884</v>
      </c>
      <c r="I30" s="95" t="n">
        <f aca="false">ROUND('CAHT- Année 1'!AB46*1.1*$C$6/1.1,0)</f>
        <v>25370</v>
      </c>
      <c r="J30" s="95" t="n">
        <f aca="false">ROUND('CAHT- Année 1'!AB47*1.1*$C$6/1.1,0)</f>
        <v>34300</v>
      </c>
      <c r="K30" s="95" t="n">
        <f aca="false">ROUND('CAHT- Année 1'!AB48*1.1*$C$6/1.1,0)</f>
        <v>23785</v>
      </c>
      <c r="L30" s="95" t="n">
        <f aca="false">ROUND('CAHT- Année 1'!AB49*1.1*$C$6/1.1,0)</f>
        <v>41268</v>
      </c>
      <c r="M30" s="95" t="n">
        <f aca="false">ROUND('CAHT- Année 1'!AB50*1.1*$C$6/1.1,0)</f>
        <v>37116</v>
      </c>
      <c r="N30" s="95" t="n">
        <f aca="false">ROUND('CAHT- Année 1'!AB51*1.1*$C$6/1.1,0)</f>
        <v>42847</v>
      </c>
      <c r="O30" s="93" t="n">
        <f aca="false">SUM(C30:N30)</f>
        <v>422502</v>
      </c>
    </row>
    <row r="31" customFormat="false" ht="15" hidden="false" customHeight="true" outlineLevel="0" collapsed="false">
      <c r="B31" s="87" t="s">
        <v>141</v>
      </c>
      <c r="C31" s="95" t="n">
        <f aca="false">ROUND('CAHT- Année 1'!AB40*1.1*$C$7/1.2,0)</f>
        <v>6950</v>
      </c>
      <c r="D31" s="95" t="n">
        <f aca="false">ROUND('CAHT- Année 1'!AB41*1.1*$C$7/1.2,0)</f>
        <v>6621</v>
      </c>
      <c r="E31" s="95" t="n">
        <f aca="false">ROUND('CAHT- Année 1'!AB42*1.1*$C$7/1.2,0)</f>
        <v>3981</v>
      </c>
      <c r="F31" s="95" t="n">
        <f aca="false">ROUND('CAHT- Année 1'!AB43*1.1*$C$7/1.2,0)</f>
        <v>6653</v>
      </c>
      <c r="G31" s="95" t="n">
        <f aca="false">ROUND('CAHT- Année 1'!AB44*1.1*$C$7/1.2,0)</f>
        <v>5387</v>
      </c>
      <c r="H31" s="95" t="n">
        <f aca="false">ROUND('CAHT- Année 1'!AB45*1.1*$C$7/1.2,0)</f>
        <v>5643</v>
      </c>
      <c r="I31" s="95" t="n">
        <f aca="false">ROUND('CAHT- Année 1'!AB46*1.1*$C$7/1.2,0)</f>
        <v>4104</v>
      </c>
      <c r="J31" s="95" t="n">
        <f aca="false">ROUND('CAHT- Année 1'!AB47*1.1*$C$7/1.2,0)</f>
        <v>5549</v>
      </c>
      <c r="K31" s="95" t="n">
        <f aca="false">ROUND('CAHT- Année 1'!AB48*1.1*$C$7/1.2,0)</f>
        <v>3848</v>
      </c>
      <c r="L31" s="95" t="n">
        <f aca="false">ROUND('CAHT- Année 1'!AB49*1.1*$C$7/1.2,0)</f>
        <v>6676</v>
      </c>
      <c r="M31" s="95" t="n">
        <f aca="false">ROUND('CAHT- Année 1'!AB50*1.1*$C$7/1.2,0)</f>
        <v>6004</v>
      </c>
      <c r="N31" s="95" t="n">
        <f aca="false">ROUND('CAHT- Année 1'!AB51*1.1*$C$7/1.2,0)</f>
        <v>6931</v>
      </c>
      <c r="O31" s="93" t="n">
        <f aca="false">SUM(C31:N31)</f>
        <v>68347</v>
      </c>
    </row>
    <row r="32" customFormat="false" ht="15" hidden="false" customHeight="true" outlineLevel="0" collapsed="false">
      <c r="B32" s="87" t="s">
        <v>142</v>
      </c>
      <c r="C32" s="96" t="n">
        <f aca="false">ROUND('CAHT- Année 1'!AB40/'CAHT- Année 1'!AB52*100,1)</f>
        <v>10.2</v>
      </c>
      <c r="D32" s="96" t="n">
        <f aca="false">ROUND('CAHT- Année 1'!AB41/'CAHT- Année 1'!AB52*100,1)</f>
        <v>9.7</v>
      </c>
      <c r="E32" s="96" t="n">
        <f aca="false">ROUND('CAHT- Année 1'!AB42/'CAHT- Année 1'!AB52*100,1)</f>
        <v>5.8</v>
      </c>
      <c r="F32" s="96" t="n">
        <f aca="false">ROUND('CAHT- Année 1'!AB43/'CAHT- Année 1'!AB52*100,1)</f>
        <v>9.7</v>
      </c>
      <c r="G32" s="96" t="n">
        <f aca="false">ROUND('CAHT- Année 1'!AB44/'CAHT- Année 1'!AB52*100,1)</f>
        <v>7.9</v>
      </c>
      <c r="H32" s="96" t="n">
        <f aca="false">ROUND('CAHT- Année 1'!AB45/'CAHT- Année 1'!AB52*100,1)</f>
        <v>8.3</v>
      </c>
      <c r="I32" s="96" t="n">
        <f aca="false">ROUND('CAHT- Année 1'!AB46/'CAHT- Année 1'!AB52*100,1)</f>
        <v>6</v>
      </c>
      <c r="J32" s="96" t="n">
        <f aca="false">ROUND('CAHT- Année 1'!AB47/'CAHT- Année 1'!AB52*100,1)</f>
        <v>8.1</v>
      </c>
      <c r="K32" s="96" t="n">
        <f aca="false">ROUND('CAHT- Année 1'!AB48/'CAHT- Année 1'!AB52*100,1)</f>
        <v>5.6</v>
      </c>
      <c r="L32" s="96" t="n">
        <f aca="false">ROUND('CAHT- Année 1'!AB49/'CAHT- Année 1'!AB52*100,1)</f>
        <v>9.8</v>
      </c>
      <c r="M32" s="96" t="n">
        <f aca="false">ROUND('CAHT- Année 1'!AB50/'CAHT- Année 1'!AB52*100,1)</f>
        <v>8.8</v>
      </c>
      <c r="N32" s="96" t="n">
        <f aca="false">100-(C32+D32+E32+F32+G32+H32+I32+J32+K32+L32+M32)</f>
        <v>10.1</v>
      </c>
      <c r="O32" s="97" t="n">
        <f aca="false">SUM(C32:N32)</f>
        <v>100</v>
      </c>
    </row>
    <row r="34" customFormat="false" ht="30" hidden="false" customHeight="true" outlineLevel="0" collapsed="false">
      <c r="B34" s="76" t="s">
        <v>145</v>
      </c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</row>
    <row r="36" customFormat="false" ht="43.5" hidden="false" customHeight="true" outlineLevel="0" collapsed="false">
      <c r="B36" s="76" t="s">
        <v>146</v>
      </c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</row>
  </sheetData>
  <mergeCells count="4">
    <mergeCell ref="B3:J3"/>
    <mergeCell ref="G13:M13"/>
    <mergeCell ref="B34:N34"/>
    <mergeCell ref="B36:N3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H2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42"/>
    <col collapsed="false" customWidth="true" hidden="false" outlineLevel="0" max="3" min="3" style="1" width="12"/>
    <col collapsed="false" customWidth="true" hidden="false" outlineLevel="0" max="4" min="4" style="1" width="10"/>
    <col collapsed="false" customWidth="true" hidden="false" outlineLevel="0" max="5" min="5" style="1" width="30"/>
    <col collapsed="false" customWidth="true" hidden="false" outlineLevel="0" max="6" min="6" style="1" width="14"/>
    <col collapsed="false" customWidth="true" hidden="false" outlineLevel="0" max="7" min="7" style="1" width="12"/>
    <col collapsed="false" customWidth="true" hidden="false" outlineLevel="0" max="8" min="8" style="1" width="52"/>
  </cols>
  <sheetData>
    <row r="2" customFormat="false" ht="15" hidden="false" customHeight="true" outlineLevel="0" collapsed="false">
      <c r="B2" s="75" t="s">
        <v>147</v>
      </c>
    </row>
    <row r="4" customFormat="false" ht="15" hidden="false" customHeight="true" outlineLevel="0" collapsed="false">
      <c r="B4" s="98" t="s">
        <v>148</v>
      </c>
      <c r="C4" s="98" t="s">
        <v>149</v>
      </c>
      <c r="D4" s="98" t="s">
        <v>150</v>
      </c>
      <c r="E4" s="98" t="s">
        <v>151</v>
      </c>
      <c r="F4" s="98" t="s">
        <v>152</v>
      </c>
      <c r="G4" s="98" t="s">
        <v>153</v>
      </c>
      <c r="H4" s="98" t="s">
        <v>154</v>
      </c>
    </row>
    <row r="5" customFormat="false" ht="30" hidden="false" customHeight="true" outlineLevel="0" collapsed="false">
      <c r="B5" s="78" t="s">
        <v>155</v>
      </c>
      <c r="C5" s="99" t="n">
        <v>20000</v>
      </c>
      <c r="D5" s="79" t="s">
        <v>156</v>
      </c>
      <c r="E5" s="79" t="s">
        <v>157</v>
      </c>
      <c r="F5" s="79" t="s">
        <v>157</v>
      </c>
      <c r="G5" s="79" t="s">
        <v>157</v>
      </c>
      <c r="H5" s="81" t="s">
        <v>158</v>
      </c>
    </row>
    <row r="6" customFormat="false" ht="30" hidden="false" customHeight="true" outlineLevel="0" collapsed="false">
      <c r="B6" s="78" t="s">
        <v>159</v>
      </c>
      <c r="C6" s="99" t="n">
        <v>20000</v>
      </c>
      <c r="D6" s="79" t="s">
        <v>156</v>
      </c>
      <c r="E6" s="79" t="s">
        <v>157</v>
      </c>
      <c r="F6" s="79" t="s">
        <v>157</v>
      </c>
      <c r="G6" s="79" t="s">
        <v>157</v>
      </c>
      <c r="H6" s="81" t="s">
        <v>160</v>
      </c>
    </row>
    <row r="7" customFormat="false" ht="30" hidden="false" customHeight="true" outlineLevel="0" collapsed="false">
      <c r="B7" s="78" t="s">
        <v>161</v>
      </c>
      <c r="C7" s="99" t="n">
        <v>10000</v>
      </c>
      <c r="D7" s="79" t="s">
        <v>156</v>
      </c>
      <c r="E7" s="79" t="s">
        <v>162</v>
      </c>
      <c r="F7" s="79" t="s">
        <v>163</v>
      </c>
      <c r="G7" s="79" t="s">
        <v>164</v>
      </c>
      <c r="H7" s="81" t="s">
        <v>165</v>
      </c>
    </row>
    <row r="8" customFormat="false" ht="30" hidden="false" customHeight="true" outlineLevel="0" collapsed="false">
      <c r="B8" s="78" t="s">
        <v>166</v>
      </c>
      <c r="C8" s="99" t="n">
        <v>180000</v>
      </c>
      <c r="D8" s="79" t="s">
        <v>156</v>
      </c>
      <c r="E8" s="79" t="s">
        <v>167</v>
      </c>
      <c r="F8" s="79" t="s">
        <v>168</v>
      </c>
      <c r="G8" s="79" t="s">
        <v>169</v>
      </c>
      <c r="H8" s="81" t="s">
        <v>170</v>
      </c>
    </row>
    <row r="9" customFormat="false" ht="30" hidden="false" customHeight="true" outlineLevel="0" collapsed="false">
      <c r="B9" s="78" t="s">
        <v>171</v>
      </c>
      <c r="C9" s="99" t="n">
        <v>46000</v>
      </c>
      <c r="D9" s="79" t="s">
        <v>156</v>
      </c>
      <c r="E9" s="79" t="s">
        <v>172</v>
      </c>
      <c r="F9" s="79" t="s">
        <v>173</v>
      </c>
      <c r="G9" s="79" t="s">
        <v>169</v>
      </c>
      <c r="H9" s="81" t="s">
        <v>174</v>
      </c>
    </row>
    <row r="10" customFormat="false" ht="30" hidden="false" customHeight="true" outlineLevel="0" collapsed="false">
      <c r="B10" s="78" t="s">
        <v>175</v>
      </c>
      <c r="C10" s="99" t="n">
        <v>16000</v>
      </c>
      <c r="D10" s="79" t="s">
        <v>156</v>
      </c>
      <c r="E10" s="79" t="s">
        <v>176</v>
      </c>
      <c r="F10" s="79" t="s">
        <v>177</v>
      </c>
      <c r="G10" s="79" t="s">
        <v>157</v>
      </c>
      <c r="H10" s="81" t="s">
        <v>178</v>
      </c>
    </row>
    <row r="11" customFormat="false" ht="15" hidden="false" customHeight="true" outlineLevel="0" collapsed="false">
      <c r="B11" s="100" t="s">
        <v>179</v>
      </c>
      <c r="C11" s="101" t="n">
        <f aca="false">SUM(C5:C10)</f>
        <v>292000</v>
      </c>
    </row>
    <row r="13" customFormat="false" ht="15" hidden="false" customHeight="true" outlineLevel="0" collapsed="false">
      <c r="B13" s="87" t="s">
        <v>180</v>
      </c>
      <c r="C13" s="88" t="n">
        <f aca="false">ROUND(-PMT(0.043/12,81,C8*(1+0.043/12)^3),0)</f>
        <v>2592</v>
      </c>
      <c r="H13" s="1" t="s">
        <v>181</v>
      </c>
    </row>
    <row r="14" customFormat="false" ht="15" hidden="false" customHeight="true" outlineLevel="0" collapsed="false">
      <c r="B14" s="87" t="s">
        <v>182</v>
      </c>
      <c r="C14" s="88" t="n">
        <f aca="false">ROUND(-PMT(0.044/12,117,C9*(1+0.044/12)^3),0)</f>
        <v>490</v>
      </c>
      <c r="H14" s="1" t="s">
        <v>183</v>
      </c>
    </row>
    <row r="15" customFormat="false" ht="15" hidden="false" customHeight="true" outlineLevel="0" collapsed="false">
      <c r="B15" s="87" t="s">
        <v>184</v>
      </c>
      <c r="C15" s="88" t="n">
        <f aca="false">ROUND(C7/54,0)</f>
        <v>185</v>
      </c>
    </row>
    <row r="16" customFormat="false" ht="15" hidden="false" customHeight="true" outlineLevel="0" collapsed="false">
      <c r="B16" s="87" t="s">
        <v>185</v>
      </c>
      <c r="C16" s="88" t="n">
        <v>37254</v>
      </c>
      <c r="H16" s="1" t="s">
        <v>186</v>
      </c>
    </row>
    <row r="18" customFormat="false" ht="15" hidden="false" customHeight="true" outlineLevel="0" collapsed="false">
      <c r="B18" s="94" t="s">
        <v>187</v>
      </c>
    </row>
    <row r="19" customFormat="false" ht="15" hidden="false" customHeight="true" outlineLevel="0" collapsed="false">
      <c r="B19" s="102" t="s">
        <v>188</v>
      </c>
      <c r="C19" s="102" t="s">
        <v>149</v>
      </c>
      <c r="E19" s="102" t="s">
        <v>189</v>
      </c>
      <c r="F19" s="102" t="s">
        <v>149</v>
      </c>
    </row>
    <row r="20" customFormat="false" ht="32.25" hidden="false" customHeight="true" outlineLevel="0" collapsed="false">
      <c r="B20" s="78" t="s">
        <v>190</v>
      </c>
      <c r="C20" s="99" t="n">
        <v>235560</v>
      </c>
      <c r="E20" s="78" t="s">
        <v>191</v>
      </c>
      <c r="F20" s="88" t="n">
        <f aca="false">C5+C6</f>
        <v>40000</v>
      </c>
      <c r="H20" s="81" t="s">
        <v>192</v>
      </c>
    </row>
    <row r="21" customFormat="false" ht="15" hidden="false" customHeight="true" outlineLevel="0" collapsed="false">
      <c r="B21" s="78" t="s">
        <v>193</v>
      </c>
      <c r="C21" s="99" t="n">
        <v>8000</v>
      </c>
      <c r="E21" s="78" t="s">
        <v>161</v>
      </c>
      <c r="F21" s="88" t="n">
        <f aca="false">C7</f>
        <v>10000</v>
      </c>
    </row>
    <row r="22" customFormat="false" ht="15" hidden="false" customHeight="true" outlineLevel="0" collapsed="false">
      <c r="B22" s="78" t="s">
        <v>194</v>
      </c>
      <c r="C22" s="99" t="n">
        <v>16000</v>
      </c>
      <c r="E22" s="78" t="s">
        <v>195</v>
      </c>
      <c r="F22" s="88" t="n">
        <f aca="false">C8</f>
        <v>180000</v>
      </c>
    </row>
    <row r="23" customFormat="false" ht="23.25" hidden="false" customHeight="true" outlineLevel="0" collapsed="false">
      <c r="B23" s="78" t="s">
        <v>196</v>
      </c>
      <c r="C23" s="99" t="n">
        <v>32440</v>
      </c>
      <c r="E23" s="78" t="s">
        <v>197</v>
      </c>
      <c r="F23" s="88" t="n">
        <f aca="false">C9</f>
        <v>46000</v>
      </c>
    </row>
    <row r="24" customFormat="false" ht="15" hidden="false" customHeight="true" outlineLevel="0" collapsed="false">
      <c r="E24" s="78" t="s">
        <v>175</v>
      </c>
      <c r="F24" s="88" t="n">
        <f aca="false">C10</f>
        <v>16000</v>
      </c>
    </row>
    <row r="25" customFormat="false" ht="15" hidden="false" customHeight="true" outlineLevel="0" collapsed="false">
      <c r="B25" s="100" t="s">
        <v>198</v>
      </c>
      <c r="C25" s="101" t="n">
        <f aca="false">SUM(C20:C23)</f>
        <v>292000</v>
      </c>
      <c r="E25" s="100" t="s">
        <v>179</v>
      </c>
      <c r="F25" s="101" t="n">
        <f aca="false">SUM(F20:F24)</f>
        <v>292000</v>
      </c>
    </row>
    <row r="26" customFormat="false" ht="15" hidden="false" customHeight="true" outlineLevel="0" collapsed="false">
      <c r="B26" s="87" t="s">
        <v>199</v>
      </c>
      <c r="C26" s="88" t="n">
        <f aca="false">F25-C25</f>
        <v>0</v>
      </c>
    </row>
    <row r="27" customFormat="false" ht="63.75" hidden="false" customHeight="true" outlineLevel="0" collapsed="false">
      <c r="B27" s="87" t="s">
        <v>200</v>
      </c>
      <c r="C27" s="103" t="n">
        <f aca="false">(F20+F21)/F25</f>
        <v>0.171232876712329</v>
      </c>
      <c r="E27" s="81" t="s">
        <v>201</v>
      </c>
      <c r="F27" s="81"/>
      <c r="G27" s="81"/>
      <c r="H27" s="81"/>
    </row>
  </sheetData>
  <mergeCells count="1">
    <mergeCell ref="E27:H2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K3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34"/>
    <col collapsed="false" customWidth="true" hidden="false" outlineLevel="0" max="5" min="3" style="1" width="10"/>
    <col collapsed="false" customWidth="true" hidden="false" outlineLevel="0" max="6" min="6" style="1" width="8"/>
    <col collapsed="false" customWidth="true" hidden="false" outlineLevel="0" max="7" min="7" style="1" width="12"/>
    <col collapsed="false" customWidth="true" hidden="false" outlineLevel="0" max="9" min="8" style="1" width="9"/>
    <col collapsed="false" customWidth="true" hidden="false" outlineLevel="0" max="10" min="10" style="1" width="12"/>
    <col collapsed="false" customWidth="true" hidden="false" outlineLevel="0" max="11" min="11" style="1" width="52"/>
  </cols>
  <sheetData>
    <row r="2" customFormat="false" ht="15" hidden="false" customHeight="true" outlineLevel="0" collapsed="false">
      <c r="B2" s="104" t="s">
        <v>202</v>
      </c>
      <c r="C2" s="104"/>
      <c r="D2" s="104"/>
      <c r="E2" s="104"/>
      <c r="F2" s="104"/>
      <c r="G2" s="104"/>
      <c r="H2" s="104"/>
      <c r="I2" s="104"/>
      <c r="J2" s="104"/>
      <c r="K2" s="104"/>
    </row>
    <row r="4" customFormat="false" ht="23.25" hidden="false" customHeight="true" outlineLevel="0" collapsed="false">
      <c r="B4" s="98" t="s">
        <v>107</v>
      </c>
      <c r="C4" s="98" t="s">
        <v>203</v>
      </c>
      <c r="D4" s="98" t="s">
        <v>204</v>
      </c>
      <c r="E4" s="98" t="s">
        <v>205</v>
      </c>
      <c r="F4" s="98" t="s">
        <v>206</v>
      </c>
      <c r="G4" s="98" t="s">
        <v>207</v>
      </c>
      <c r="H4" s="98" t="s">
        <v>208</v>
      </c>
      <c r="I4" s="98" t="s">
        <v>91</v>
      </c>
      <c r="J4" s="98" t="s">
        <v>209</v>
      </c>
      <c r="K4" s="98" t="s">
        <v>154</v>
      </c>
    </row>
    <row r="5" customFormat="false" ht="15" hidden="false" customHeight="true" outlineLevel="0" collapsed="false">
      <c r="B5" s="102" t="s">
        <v>210</v>
      </c>
      <c r="C5" s="102"/>
      <c r="D5" s="102"/>
      <c r="E5" s="102"/>
      <c r="F5" s="102"/>
      <c r="G5" s="102"/>
      <c r="H5" s="102"/>
      <c r="I5" s="102"/>
      <c r="J5" s="102"/>
      <c r="K5" s="102"/>
    </row>
    <row r="6" customFormat="false" ht="24" hidden="false" customHeight="true" outlineLevel="0" collapsed="false">
      <c r="B6" s="78" t="s">
        <v>211</v>
      </c>
      <c r="C6" s="99" t="n">
        <v>7500</v>
      </c>
      <c r="D6" s="99" t="n">
        <v>7700</v>
      </c>
      <c r="E6" s="99" t="n">
        <v>7900</v>
      </c>
      <c r="F6" s="80" t="s">
        <v>212</v>
      </c>
      <c r="G6" s="80" t="s">
        <v>213</v>
      </c>
      <c r="H6" s="91" t="n">
        <v>0</v>
      </c>
      <c r="I6" s="80" t="s">
        <v>214</v>
      </c>
      <c r="J6" s="105" t="s">
        <v>215</v>
      </c>
      <c r="K6" s="81" t="s">
        <v>216</v>
      </c>
    </row>
    <row r="7" customFormat="false" ht="24" hidden="false" customHeight="true" outlineLevel="0" collapsed="false">
      <c r="B7" s="78" t="s">
        <v>217</v>
      </c>
      <c r="C7" s="99" t="n">
        <v>950</v>
      </c>
      <c r="D7" s="99" t="n">
        <v>980</v>
      </c>
      <c r="E7" s="99" t="n">
        <v>1010</v>
      </c>
      <c r="F7" s="80" t="s">
        <v>212</v>
      </c>
      <c r="G7" s="80" t="s">
        <v>218</v>
      </c>
      <c r="H7" s="91" t="n">
        <v>0</v>
      </c>
      <c r="I7" s="80" t="s">
        <v>214</v>
      </c>
      <c r="J7" s="105" t="s">
        <v>219</v>
      </c>
      <c r="K7" s="81" t="s">
        <v>220</v>
      </c>
    </row>
    <row r="8" customFormat="false" ht="24" hidden="false" customHeight="true" outlineLevel="0" collapsed="false">
      <c r="B8" s="78" t="s">
        <v>221</v>
      </c>
      <c r="C8" s="99" t="n">
        <v>1200</v>
      </c>
      <c r="D8" s="99" t="n">
        <v>1250</v>
      </c>
      <c r="E8" s="99" t="n">
        <v>1300</v>
      </c>
      <c r="F8" s="80" t="s">
        <v>222</v>
      </c>
      <c r="G8" s="80" t="s">
        <v>212</v>
      </c>
      <c r="H8" s="91" t="n">
        <v>0</v>
      </c>
      <c r="I8" s="80" t="s">
        <v>214</v>
      </c>
      <c r="J8" s="105" t="s">
        <v>223</v>
      </c>
      <c r="K8" s="81" t="s">
        <v>224</v>
      </c>
    </row>
    <row r="9" customFormat="false" ht="24" hidden="false" customHeight="true" outlineLevel="0" collapsed="false">
      <c r="B9" s="78" t="s">
        <v>225</v>
      </c>
      <c r="C9" s="99" t="n">
        <v>2400</v>
      </c>
      <c r="D9" s="99" t="n">
        <v>2600</v>
      </c>
      <c r="E9" s="99" t="n">
        <v>2800</v>
      </c>
      <c r="F9" s="80" t="s">
        <v>163</v>
      </c>
      <c r="G9" s="80" t="s">
        <v>213</v>
      </c>
      <c r="H9" s="91" t="n">
        <v>30</v>
      </c>
      <c r="I9" s="80" t="s">
        <v>214</v>
      </c>
      <c r="J9" s="105" t="s">
        <v>226</v>
      </c>
      <c r="K9" s="81" t="s">
        <v>227</v>
      </c>
    </row>
    <row r="10" customFormat="false" ht="24" hidden="false" customHeight="true" outlineLevel="0" collapsed="false">
      <c r="B10" s="78" t="s">
        <v>228</v>
      </c>
      <c r="C10" s="99" t="n">
        <v>2500</v>
      </c>
      <c r="D10" s="99" t="n">
        <v>2600</v>
      </c>
      <c r="E10" s="99" t="n">
        <v>2700</v>
      </c>
      <c r="F10" s="80" t="s">
        <v>229</v>
      </c>
      <c r="G10" s="80" t="s">
        <v>230</v>
      </c>
      <c r="H10" s="91" t="n">
        <v>30</v>
      </c>
      <c r="I10" s="80" t="s">
        <v>214</v>
      </c>
      <c r="J10" s="105" t="s">
        <v>231</v>
      </c>
      <c r="K10" s="81" t="s">
        <v>232</v>
      </c>
    </row>
    <row r="11" customFormat="false" ht="24" hidden="false" customHeight="true" outlineLevel="0" collapsed="false">
      <c r="B11" s="78" t="s">
        <v>233</v>
      </c>
      <c r="C11" s="99" t="n">
        <v>300</v>
      </c>
      <c r="D11" s="99" t="n">
        <v>310</v>
      </c>
      <c r="E11" s="99" t="n">
        <v>320</v>
      </c>
      <c r="F11" s="80" t="s">
        <v>222</v>
      </c>
      <c r="G11" s="80" t="s">
        <v>230</v>
      </c>
      <c r="H11" s="91" t="n">
        <v>0</v>
      </c>
      <c r="I11" s="80" t="s">
        <v>214</v>
      </c>
      <c r="J11" s="105" t="s">
        <v>234</v>
      </c>
      <c r="K11" s="81" t="s">
        <v>235</v>
      </c>
    </row>
    <row r="12" customFormat="false" ht="24" hidden="false" customHeight="true" outlineLevel="0" collapsed="false">
      <c r="B12" s="78" t="s">
        <v>236</v>
      </c>
      <c r="C12" s="99" t="n">
        <v>600</v>
      </c>
      <c r="D12" s="99" t="n">
        <v>620</v>
      </c>
      <c r="E12" s="99" t="n">
        <v>640</v>
      </c>
      <c r="F12" s="80" t="s">
        <v>222</v>
      </c>
      <c r="G12" s="80" t="s">
        <v>237</v>
      </c>
      <c r="H12" s="91" t="n">
        <v>0</v>
      </c>
      <c r="I12" s="80" t="s">
        <v>214</v>
      </c>
      <c r="J12" s="105" t="s">
        <v>226</v>
      </c>
      <c r="K12" s="81" t="s">
        <v>238</v>
      </c>
    </row>
    <row r="13" customFormat="false" ht="15" hidden="false" customHeight="true" outlineLevel="0" collapsed="false">
      <c r="B13" s="102" t="s">
        <v>239</v>
      </c>
      <c r="C13" s="102"/>
      <c r="D13" s="102"/>
      <c r="E13" s="102"/>
      <c r="F13" s="102"/>
      <c r="G13" s="102"/>
      <c r="H13" s="102"/>
      <c r="I13" s="102"/>
      <c r="J13" s="102"/>
      <c r="K13" s="102"/>
    </row>
    <row r="14" customFormat="false" ht="24" hidden="false" customHeight="true" outlineLevel="0" collapsed="false">
      <c r="B14" s="106" t="s">
        <v>240</v>
      </c>
      <c r="C14" s="99" t="n">
        <v>38400</v>
      </c>
      <c r="D14" s="99" t="n">
        <v>38400</v>
      </c>
      <c r="E14" s="99" t="n">
        <v>39200</v>
      </c>
      <c r="F14" s="80" t="s">
        <v>222</v>
      </c>
      <c r="G14" s="80" t="s">
        <v>213</v>
      </c>
      <c r="H14" s="91" t="n">
        <v>0</v>
      </c>
      <c r="I14" s="80" t="s">
        <v>241</v>
      </c>
      <c r="J14" s="105" t="s">
        <v>242</v>
      </c>
      <c r="K14" s="81" t="s">
        <v>243</v>
      </c>
    </row>
    <row r="15" customFormat="false" ht="24" hidden="false" customHeight="true" outlineLevel="0" collapsed="false">
      <c r="B15" s="106" t="s">
        <v>244</v>
      </c>
      <c r="C15" s="99" t="n">
        <v>1300</v>
      </c>
      <c r="D15" s="99" t="n">
        <v>1300</v>
      </c>
      <c r="E15" s="99" t="n">
        <v>1350</v>
      </c>
      <c r="F15" s="80" t="s">
        <v>222</v>
      </c>
      <c r="G15" s="80" t="s">
        <v>213</v>
      </c>
      <c r="H15" s="91" t="n">
        <v>0</v>
      </c>
      <c r="I15" s="80" t="s">
        <v>241</v>
      </c>
      <c r="J15" s="105" t="s">
        <v>245</v>
      </c>
      <c r="K15" s="81" t="s">
        <v>246</v>
      </c>
    </row>
    <row r="16" customFormat="false" ht="24" hidden="false" customHeight="true" outlineLevel="0" collapsed="false">
      <c r="B16" s="78" t="s">
        <v>247</v>
      </c>
      <c r="C16" s="99" t="n">
        <v>1500</v>
      </c>
      <c r="D16" s="99" t="n">
        <v>1550</v>
      </c>
      <c r="E16" s="99" t="n">
        <v>1600</v>
      </c>
      <c r="F16" s="80" t="s">
        <v>222</v>
      </c>
      <c r="G16" s="80" t="s">
        <v>230</v>
      </c>
      <c r="H16" s="91" t="n">
        <v>0</v>
      </c>
      <c r="I16" s="80" t="s">
        <v>214</v>
      </c>
      <c r="J16" s="105" t="s">
        <v>248</v>
      </c>
      <c r="K16" s="81" t="s">
        <v>249</v>
      </c>
    </row>
    <row r="17" customFormat="false" ht="24" hidden="false" customHeight="true" outlineLevel="0" collapsed="false">
      <c r="B17" s="78" t="s">
        <v>250</v>
      </c>
      <c r="C17" s="99" t="n">
        <v>1200</v>
      </c>
      <c r="D17" s="99" t="n">
        <v>1250</v>
      </c>
      <c r="E17" s="99" t="n">
        <v>1300</v>
      </c>
      <c r="F17" s="80" t="s">
        <v>222</v>
      </c>
      <c r="G17" s="80" t="s">
        <v>251</v>
      </c>
      <c r="H17" s="91" t="n">
        <v>0</v>
      </c>
      <c r="I17" s="80" t="s">
        <v>252</v>
      </c>
      <c r="J17" s="105" t="s">
        <v>226</v>
      </c>
      <c r="K17" s="81" t="s">
        <v>253</v>
      </c>
    </row>
    <row r="18" customFormat="false" ht="24" hidden="false" customHeight="true" outlineLevel="0" collapsed="false">
      <c r="B18" s="78" t="s">
        <v>254</v>
      </c>
      <c r="C18" s="99" t="n">
        <v>1200</v>
      </c>
      <c r="D18" s="99" t="n">
        <v>1300</v>
      </c>
      <c r="E18" s="99" t="n">
        <v>1400</v>
      </c>
      <c r="F18" s="80" t="s">
        <v>212</v>
      </c>
      <c r="G18" s="80" t="s">
        <v>230</v>
      </c>
      <c r="H18" s="91" t="n">
        <v>30</v>
      </c>
      <c r="I18" s="80" t="s">
        <v>214</v>
      </c>
      <c r="J18" s="105" t="s">
        <v>255</v>
      </c>
      <c r="K18" s="81" t="s">
        <v>256</v>
      </c>
    </row>
    <row r="19" customFormat="false" ht="24" hidden="false" customHeight="true" outlineLevel="0" collapsed="false">
      <c r="B19" s="78" t="s">
        <v>257</v>
      </c>
      <c r="C19" s="99" t="n">
        <v>2400</v>
      </c>
      <c r="D19" s="99" t="n">
        <v>2500</v>
      </c>
      <c r="E19" s="99" t="n">
        <v>2600</v>
      </c>
      <c r="F19" s="80" t="s">
        <v>222</v>
      </c>
      <c r="G19" s="80" t="s">
        <v>230</v>
      </c>
      <c r="H19" s="91" t="n">
        <v>30</v>
      </c>
      <c r="I19" s="80" t="s">
        <v>214</v>
      </c>
      <c r="J19" s="105" t="s">
        <v>258</v>
      </c>
      <c r="K19" s="81" t="s">
        <v>259</v>
      </c>
    </row>
    <row r="20" customFormat="false" ht="24" hidden="false" customHeight="true" outlineLevel="0" collapsed="false">
      <c r="B20" s="78" t="s">
        <v>260</v>
      </c>
      <c r="C20" s="99" t="n">
        <v>2600</v>
      </c>
      <c r="D20" s="99" t="n">
        <v>2700</v>
      </c>
      <c r="E20" s="99" t="n">
        <v>2800</v>
      </c>
      <c r="F20" s="80" t="s">
        <v>222</v>
      </c>
      <c r="G20" s="80" t="s">
        <v>251</v>
      </c>
      <c r="H20" s="91" t="n">
        <v>0</v>
      </c>
      <c r="I20" s="80" t="s">
        <v>252</v>
      </c>
      <c r="J20" s="105" t="s">
        <v>261</v>
      </c>
      <c r="K20" s="81" t="s">
        <v>262</v>
      </c>
    </row>
    <row r="21" customFormat="false" ht="24" hidden="false" customHeight="true" outlineLevel="0" collapsed="false">
      <c r="B21" s="78" t="s">
        <v>263</v>
      </c>
      <c r="C21" s="99" t="n">
        <v>2400</v>
      </c>
      <c r="D21" s="99" t="n">
        <v>2500</v>
      </c>
      <c r="E21" s="99" t="n">
        <v>2600</v>
      </c>
      <c r="F21" s="80" t="s">
        <v>222</v>
      </c>
      <c r="G21" s="80" t="s">
        <v>213</v>
      </c>
      <c r="H21" s="91" t="n">
        <v>0</v>
      </c>
      <c r="I21" s="80" t="s">
        <v>214</v>
      </c>
      <c r="J21" s="105" t="s">
        <v>264</v>
      </c>
      <c r="K21" s="81" t="s">
        <v>265</v>
      </c>
    </row>
    <row r="22" customFormat="false" ht="24" hidden="false" customHeight="true" outlineLevel="0" collapsed="false">
      <c r="B22" s="78" t="s">
        <v>266</v>
      </c>
      <c r="C22" s="99" t="n">
        <v>5200</v>
      </c>
      <c r="D22" s="99" t="n">
        <v>5300</v>
      </c>
      <c r="E22" s="99" t="n">
        <v>5400</v>
      </c>
      <c r="F22" s="80" t="s">
        <v>222</v>
      </c>
      <c r="G22" s="80" t="s">
        <v>230</v>
      </c>
      <c r="H22" s="91" t="n">
        <v>30</v>
      </c>
      <c r="I22" s="80" t="s">
        <v>214</v>
      </c>
      <c r="J22" s="105" t="s">
        <v>267</v>
      </c>
      <c r="K22" s="81" t="s">
        <v>268</v>
      </c>
    </row>
    <row r="23" customFormat="false" ht="24" hidden="false" customHeight="true" outlineLevel="0" collapsed="false">
      <c r="B23" s="78" t="s">
        <v>269</v>
      </c>
      <c r="C23" s="99" t="n">
        <v>1700</v>
      </c>
      <c r="D23" s="99" t="n">
        <v>1750</v>
      </c>
      <c r="E23" s="99" t="n">
        <v>1800</v>
      </c>
      <c r="F23" s="80" t="s">
        <v>222</v>
      </c>
      <c r="G23" s="80" t="s">
        <v>230</v>
      </c>
      <c r="H23" s="91" t="n">
        <v>30</v>
      </c>
      <c r="I23" s="80" t="s">
        <v>214</v>
      </c>
      <c r="J23" s="105" t="s">
        <v>270</v>
      </c>
      <c r="K23" s="81" t="s">
        <v>271</v>
      </c>
    </row>
    <row r="24" customFormat="false" ht="24" hidden="false" customHeight="true" outlineLevel="0" collapsed="false">
      <c r="B24" s="78" t="s">
        <v>272</v>
      </c>
      <c r="C24" s="99" t="n">
        <v>700</v>
      </c>
      <c r="D24" s="99" t="n">
        <v>720</v>
      </c>
      <c r="E24" s="99" t="n">
        <v>740</v>
      </c>
      <c r="F24" s="80" t="s">
        <v>222</v>
      </c>
      <c r="G24" s="80" t="s">
        <v>251</v>
      </c>
      <c r="H24" s="91" t="n">
        <v>30</v>
      </c>
      <c r="I24" s="80" t="s">
        <v>214</v>
      </c>
      <c r="J24" s="105" t="s">
        <v>273</v>
      </c>
      <c r="K24" s="81" t="s">
        <v>274</v>
      </c>
    </row>
    <row r="25" customFormat="false" ht="24" hidden="false" customHeight="true" outlineLevel="0" collapsed="false">
      <c r="B25" s="78" t="s">
        <v>275</v>
      </c>
      <c r="C25" s="99" t="n">
        <v>6000</v>
      </c>
      <c r="D25" s="99" t="n">
        <v>4000</v>
      </c>
      <c r="E25" s="99" t="n">
        <v>4000</v>
      </c>
      <c r="F25" s="80" t="s">
        <v>222</v>
      </c>
      <c r="G25" s="80" t="s">
        <v>213</v>
      </c>
      <c r="H25" s="91" t="n">
        <v>0</v>
      </c>
      <c r="I25" s="80" t="s">
        <v>214</v>
      </c>
      <c r="J25" s="105" t="s">
        <v>226</v>
      </c>
      <c r="K25" s="81" t="s">
        <v>276</v>
      </c>
    </row>
    <row r="26" customFormat="false" ht="24" hidden="false" customHeight="true" outlineLevel="0" collapsed="false">
      <c r="B26" s="78" t="s">
        <v>277</v>
      </c>
      <c r="C26" s="99" t="n">
        <v>3600</v>
      </c>
      <c r="D26" s="99" t="n">
        <v>3700</v>
      </c>
      <c r="E26" s="99" t="n">
        <v>3800</v>
      </c>
      <c r="F26" s="80" t="s">
        <v>278</v>
      </c>
      <c r="G26" s="80" t="s">
        <v>213</v>
      </c>
      <c r="H26" s="91" t="n">
        <v>30</v>
      </c>
      <c r="I26" s="80" t="s">
        <v>214</v>
      </c>
      <c r="J26" s="105" t="s">
        <v>226</v>
      </c>
      <c r="K26" s="81" t="s">
        <v>279</v>
      </c>
    </row>
    <row r="27" customFormat="false" ht="24" hidden="false" customHeight="true" outlineLevel="0" collapsed="false">
      <c r="B27" s="78" t="s">
        <v>280</v>
      </c>
      <c r="C27" s="99" t="n">
        <v>800</v>
      </c>
      <c r="D27" s="99" t="n">
        <v>850</v>
      </c>
      <c r="E27" s="99" t="n">
        <v>900</v>
      </c>
      <c r="F27" s="80" t="s">
        <v>222</v>
      </c>
      <c r="G27" s="80" t="s">
        <v>230</v>
      </c>
      <c r="H27" s="91" t="n">
        <v>0</v>
      </c>
      <c r="I27" s="80" t="s">
        <v>214</v>
      </c>
      <c r="J27" s="105" t="s">
        <v>281</v>
      </c>
      <c r="K27" s="81" t="s">
        <v>282</v>
      </c>
    </row>
    <row r="28" customFormat="false" ht="24" hidden="false" customHeight="true" outlineLevel="0" collapsed="false">
      <c r="B28" s="78" t="s">
        <v>283</v>
      </c>
      <c r="C28" s="99" t="n">
        <v>1300</v>
      </c>
      <c r="D28" s="99" t="n">
        <v>1330</v>
      </c>
      <c r="E28" s="99" t="n">
        <v>1360</v>
      </c>
      <c r="F28" s="80" t="s">
        <v>222</v>
      </c>
      <c r="G28" s="80" t="s">
        <v>213</v>
      </c>
      <c r="H28" s="91" t="n">
        <v>0</v>
      </c>
      <c r="I28" s="80" t="s">
        <v>214</v>
      </c>
      <c r="J28" s="105" t="s">
        <v>284</v>
      </c>
      <c r="K28" s="81" t="s">
        <v>285</v>
      </c>
    </row>
    <row r="29" customFormat="false" ht="24" hidden="false" customHeight="true" outlineLevel="0" collapsed="false">
      <c r="B29" s="78" t="s">
        <v>286</v>
      </c>
      <c r="C29" s="99" t="n">
        <v>700</v>
      </c>
      <c r="D29" s="99" t="n">
        <v>720</v>
      </c>
      <c r="E29" s="99" t="n">
        <v>740</v>
      </c>
      <c r="F29" s="80" t="s">
        <v>222</v>
      </c>
      <c r="G29" s="80" t="s">
        <v>213</v>
      </c>
      <c r="H29" s="91" t="n">
        <v>0</v>
      </c>
      <c r="I29" s="80" t="s">
        <v>252</v>
      </c>
      <c r="J29" s="105" t="s">
        <v>287</v>
      </c>
      <c r="K29" s="81" t="s">
        <v>288</v>
      </c>
    </row>
    <row r="30" customFormat="false" ht="24" hidden="false" customHeight="true" outlineLevel="0" collapsed="false">
      <c r="B30" s="78" t="s">
        <v>289</v>
      </c>
      <c r="C30" s="99" t="n">
        <v>2950</v>
      </c>
      <c r="D30" s="99" t="n">
        <v>3380</v>
      </c>
      <c r="E30" s="99" t="n">
        <v>3720</v>
      </c>
      <c r="F30" s="80" t="s">
        <v>163</v>
      </c>
      <c r="G30" s="80" t="s">
        <v>213</v>
      </c>
      <c r="H30" s="91" t="n">
        <v>0</v>
      </c>
      <c r="I30" s="80" t="s">
        <v>252</v>
      </c>
      <c r="J30" s="105" t="s">
        <v>290</v>
      </c>
      <c r="K30" s="81" t="s">
        <v>291</v>
      </c>
    </row>
    <row r="31" customFormat="false" ht="24" hidden="false" customHeight="true" outlineLevel="0" collapsed="false">
      <c r="B31" s="78" t="s">
        <v>292</v>
      </c>
      <c r="C31" s="99" t="n">
        <v>1000</v>
      </c>
      <c r="D31" s="99" t="n">
        <v>1100</v>
      </c>
      <c r="E31" s="99" t="n">
        <v>1200</v>
      </c>
      <c r="F31" s="80" t="s">
        <v>163</v>
      </c>
      <c r="G31" s="80" t="s">
        <v>213</v>
      </c>
      <c r="H31" s="91" t="n">
        <v>30</v>
      </c>
      <c r="I31" s="80" t="s">
        <v>252</v>
      </c>
      <c r="J31" s="105" t="s">
        <v>293</v>
      </c>
      <c r="K31" s="81" t="s">
        <v>294</v>
      </c>
    </row>
    <row r="32" customFormat="false" ht="24" hidden="false" customHeight="true" outlineLevel="0" collapsed="false">
      <c r="B32" s="78" t="s">
        <v>295</v>
      </c>
      <c r="C32" s="99" t="n">
        <v>1200</v>
      </c>
      <c r="D32" s="99" t="n">
        <v>1250</v>
      </c>
      <c r="E32" s="99" t="n">
        <v>1300</v>
      </c>
      <c r="F32" s="80" t="s">
        <v>222</v>
      </c>
      <c r="G32" s="80" t="s">
        <v>251</v>
      </c>
      <c r="H32" s="91" t="n">
        <v>0</v>
      </c>
      <c r="I32" s="80" t="s">
        <v>214</v>
      </c>
      <c r="J32" s="105" t="s">
        <v>226</v>
      </c>
      <c r="K32" s="81" t="s">
        <v>296</v>
      </c>
    </row>
    <row r="33" customFormat="false" ht="24" hidden="false" customHeight="true" outlineLevel="0" collapsed="false">
      <c r="B33" s="78" t="s">
        <v>297</v>
      </c>
      <c r="C33" s="99" t="n">
        <v>500</v>
      </c>
      <c r="D33" s="99" t="n">
        <v>510</v>
      </c>
      <c r="E33" s="99" t="n">
        <v>520</v>
      </c>
      <c r="F33" s="80" t="s">
        <v>222</v>
      </c>
      <c r="G33" s="80" t="s">
        <v>251</v>
      </c>
      <c r="H33" s="91" t="n">
        <v>0</v>
      </c>
      <c r="I33" s="80" t="s">
        <v>252</v>
      </c>
      <c r="J33" s="105" t="s">
        <v>298</v>
      </c>
      <c r="K33" s="81"/>
    </row>
    <row r="34" customFormat="false" ht="15" hidden="false" customHeight="true" outlineLevel="0" collapsed="false">
      <c r="B34" s="102" t="s">
        <v>299</v>
      </c>
      <c r="C34" s="102"/>
      <c r="D34" s="102"/>
      <c r="E34" s="102"/>
      <c r="F34" s="102"/>
      <c r="G34" s="102"/>
      <c r="H34" s="102"/>
      <c r="I34" s="102"/>
      <c r="J34" s="102"/>
      <c r="K34" s="102"/>
    </row>
    <row r="35" customFormat="false" ht="24" hidden="false" customHeight="true" outlineLevel="0" collapsed="false">
      <c r="B35" s="78" t="s">
        <v>300</v>
      </c>
      <c r="C35" s="99" t="n">
        <v>0</v>
      </c>
      <c r="D35" s="99" t="n">
        <v>950</v>
      </c>
      <c r="E35" s="99" t="n">
        <v>1900</v>
      </c>
      <c r="F35" s="80" t="s">
        <v>222</v>
      </c>
      <c r="G35" s="80" t="s">
        <v>301</v>
      </c>
      <c r="H35" s="91" t="n">
        <v>0</v>
      </c>
      <c r="I35" s="80" t="s">
        <v>252</v>
      </c>
      <c r="J35" s="105" t="s">
        <v>302</v>
      </c>
      <c r="K35" s="81" t="s">
        <v>303</v>
      </c>
    </row>
    <row r="36" customFormat="false" ht="24" hidden="false" customHeight="true" outlineLevel="0" collapsed="false">
      <c r="B36" s="78" t="s">
        <v>304</v>
      </c>
      <c r="C36" s="99" t="n">
        <v>1200</v>
      </c>
      <c r="D36" s="99" t="n">
        <v>1300</v>
      </c>
      <c r="E36" s="99" t="n">
        <v>1400</v>
      </c>
      <c r="F36" s="80" t="s">
        <v>222</v>
      </c>
      <c r="G36" s="80" t="s">
        <v>251</v>
      </c>
      <c r="H36" s="91" t="n">
        <v>0</v>
      </c>
      <c r="I36" s="80" t="s">
        <v>252</v>
      </c>
      <c r="J36" s="105" t="s">
        <v>305</v>
      </c>
      <c r="K36" s="81" t="s">
        <v>306</v>
      </c>
    </row>
    <row r="37" customFormat="false" ht="15" hidden="false" customHeight="true" outlineLevel="0" collapsed="false">
      <c r="B37" s="100" t="s">
        <v>307</v>
      </c>
      <c r="C37" s="101" t="n">
        <f aca="false">SUM(C6:C36)</f>
        <v>93300</v>
      </c>
      <c r="D37" s="101" t="n">
        <f aca="false">SUM(D6:D36)</f>
        <v>94420</v>
      </c>
      <c r="E37" s="101" t="n">
        <f aca="false">SUM(E6:E36)</f>
        <v>98300</v>
      </c>
    </row>
    <row r="38" customFormat="false" ht="21.75" hidden="false" customHeight="true" outlineLevel="0" collapsed="false">
      <c r="B38" s="87" t="s">
        <v>308</v>
      </c>
      <c r="C38" s="103" t="n">
        <f aca="false">C37/'Saisie RCA'!D13</f>
        <v>0.24596257572642</v>
      </c>
      <c r="D38" s="103" t="n">
        <f aca="false">D37/'Saisie RCA'!E13</f>
        <v>0.213717581338078</v>
      </c>
      <c r="E38" s="103" t="n">
        <f aca="false">E37/'Saisie RCA'!F13</f>
        <v>0.200265254691361</v>
      </c>
      <c r="K38" s="81" t="s">
        <v>309</v>
      </c>
    </row>
    <row r="39" customFormat="false" ht="15" hidden="false" customHeight="false" outlineLevel="0" collapsed="false">
      <c r="B39" s="107" t="s">
        <v>310</v>
      </c>
      <c r="K39" s="108" t="s">
        <v>311</v>
      </c>
    </row>
  </sheetData>
  <mergeCells count="1">
    <mergeCell ref="B2:K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BA1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34"/>
    <col collapsed="false" customWidth="true" hidden="false" outlineLevel="0" max="5" min="3" style="1" width="11"/>
    <col collapsed="false" customWidth="true" hidden="false" outlineLevel="0" max="6" min="6" style="1" width="10"/>
    <col collapsed="false" customWidth="true" hidden="false" outlineLevel="0" max="7" min="7" style="1" width="8"/>
    <col collapsed="false" customWidth="true" hidden="false" outlineLevel="0" max="9" min="8" style="1" width="9"/>
    <col collapsed="false" customWidth="true" hidden="false" outlineLevel="0" max="10" min="10" style="1" width="12"/>
    <col collapsed="false" customWidth="true" hidden="false" outlineLevel="0" max="11" min="11" style="1" width="58"/>
  </cols>
  <sheetData>
    <row r="1" customFormat="false" ht="15" hidden="false" customHeight="true" outlineLevel="0" collapsed="false">
      <c r="BA1" s="82"/>
    </row>
    <row r="2" customFormat="false" ht="25.5" hidden="false" customHeight="true" outlineLevel="0" collapsed="false">
      <c r="B2" s="104" t="s">
        <v>312</v>
      </c>
      <c r="C2" s="104"/>
      <c r="D2" s="104"/>
      <c r="E2" s="104"/>
      <c r="F2" s="104"/>
      <c r="G2" s="104"/>
      <c r="H2" s="104"/>
      <c r="I2" s="104"/>
      <c r="J2" s="104"/>
    </row>
    <row r="4" customFormat="false" ht="23.25" hidden="false" customHeight="true" outlineLevel="0" collapsed="false">
      <c r="B4" s="98" t="s">
        <v>313</v>
      </c>
      <c r="C4" s="98" t="s">
        <v>314</v>
      </c>
      <c r="D4" s="98" t="s">
        <v>315</v>
      </c>
      <c r="E4" s="98" t="s">
        <v>316</v>
      </c>
      <c r="F4" s="98" t="s">
        <v>317</v>
      </c>
      <c r="G4" s="98" t="s">
        <v>318</v>
      </c>
      <c r="H4" s="98" t="s">
        <v>319</v>
      </c>
      <c r="I4" s="98" t="s">
        <v>320</v>
      </c>
      <c r="J4" s="98" t="s">
        <v>321</v>
      </c>
      <c r="K4" s="98" t="s">
        <v>154</v>
      </c>
    </row>
    <row r="5" customFormat="false" ht="33.75" hidden="false" customHeight="true" outlineLevel="0" collapsed="false">
      <c r="B5" s="78" t="s">
        <v>322</v>
      </c>
      <c r="C5" s="99" t="n">
        <v>1500</v>
      </c>
      <c r="D5" s="99" t="n">
        <v>2500</v>
      </c>
      <c r="E5" s="99" t="n">
        <v>3000</v>
      </c>
      <c r="F5" s="80" t="s">
        <v>156</v>
      </c>
      <c r="G5" s="91" t="n">
        <v>12</v>
      </c>
      <c r="H5" s="80" t="s">
        <v>323</v>
      </c>
      <c r="I5" s="80" t="s">
        <v>324</v>
      </c>
      <c r="J5" s="88" t="n">
        <f aca="false">C5*12</f>
        <v>18000</v>
      </c>
      <c r="K5" s="81" t="s">
        <v>325</v>
      </c>
    </row>
    <row r="6" customFormat="false" ht="33.75" hidden="false" customHeight="true" outlineLevel="0" collapsed="false">
      <c r="B6" s="78" t="s">
        <v>326</v>
      </c>
      <c r="C6" s="99" t="n">
        <v>2100</v>
      </c>
      <c r="D6" s="99" t="n">
        <v>2150</v>
      </c>
      <c r="E6" s="99" t="n">
        <v>2200</v>
      </c>
      <c r="F6" s="80" t="s">
        <v>156</v>
      </c>
      <c r="G6" s="91" t="n">
        <v>12</v>
      </c>
      <c r="H6" s="80" t="s">
        <v>323</v>
      </c>
      <c r="I6" s="80" t="s">
        <v>327</v>
      </c>
      <c r="J6" s="88" t="n">
        <f aca="false">C6*12</f>
        <v>25200</v>
      </c>
      <c r="K6" s="81" t="s">
        <v>328</v>
      </c>
    </row>
    <row r="7" customFormat="false" ht="33.75" hidden="false" customHeight="true" outlineLevel="0" collapsed="false">
      <c r="B7" s="78" t="s">
        <v>329</v>
      </c>
      <c r="C7" s="99" t="n">
        <v>2000</v>
      </c>
      <c r="D7" s="99" t="n">
        <v>2050</v>
      </c>
      <c r="E7" s="99" t="n">
        <v>2100</v>
      </c>
      <c r="F7" s="80" t="s">
        <v>156</v>
      </c>
      <c r="G7" s="91" t="n">
        <v>12</v>
      </c>
      <c r="H7" s="80" t="s">
        <v>323</v>
      </c>
      <c r="I7" s="80" t="s">
        <v>327</v>
      </c>
      <c r="J7" s="88" t="n">
        <f aca="false">C7*12</f>
        <v>24000</v>
      </c>
      <c r="K7" s="81" t="s">
        <v>330</v>
      </c>
    </row>
    <row r="8" customFormat="false" ht="33.75" hidden="false" customHeight="true" outlineLevel="0" collapsed="false">
      <c r="B8" s="78" t="s">
        <v>331</v>
      </c>
      <c r="C8" s="99" t="n">
        <v>800</v>
      </c>
      <c r="D8" s="99" t="n">
        <v>850</v>
      </c>
      <c r="E8" s="99" t="n">
        <v>900</v>
      </c>
      <c r="F8" s="80" t="s">
        <v>332</v>
      </c>
      <c r="G8" s="91" t="n">
        <v>12</v>
      </c>
      <c r="H8" s="80" t="s">
        <v>333</v>
      </c>
      <c r="I8" s="80" t="s">
        <v>334</v>
      </c>
      <c r="J8" s="88" t="n">
        <f aca="false">C8*9</f>
        <v>7200</v>
      </c>
      <c r="K8" s="81" t="s">
        <v>335</v>
      </c>
    </row>
    <row r="9" customFormat="false" ht="33.75" hidden="false" customHeight="true" outlineLevel="0" collapsed="false">
      <c r="B9" s="78" t="s">
        <v>336</v>
      </c>
      <c r="C9" s="99" t="n">
        <v>750</v>
      </c>
      <c r="D9" s="99" t="n">
        <v>900</v>
      </c>
      <c r="E9" s="99" t="n">
        <v>1000</v>
      </c>
      <c r="F9" s="80" t="s">
        <v>156</v>
      </c>
      <c r="G9" s="91" t="n">
        <v>11</v>
      </c>
      <c r="H9" s="80" t="s">
        <v>323</v>
      </c>
      <c r="I9" s="80" t="s">
        <v>327</v>
      </c>
      <c r="J9" s="88" t="n">
        <f aca="false">C9*11</f>
        <v>8250</v>
      </c>
      <c r="K9" s="81" t="s">
        <v>337</v>
      </c>
    </row>
    <row r="10" customFormat="false" ht="33.75" hidden="false" customHeight="true" outlineLevel="0" collapsed="false">
      <c r="B10" s="78" t="s">
        <v>338</v>
      </c>
      <c r="C10" s="99" t="n">
        <v>0</v>
      </c>
      <c r="D10" s="99" t="n">
        <v>1950</v>
      </c>
      <c r="E10" s="99" t="n">
        <v>2000</v>
      </c>
      <c r="F10" s="80" t="s">
        <v>339</v>
      </c>
      <c r="G10" s="91" t="n">
        <v>12</v>
      </c>
      <c r="H10" s="80" t="s">
        <v>323</v>
      </c>
      <c r="I10" s="80" t="s">
        <v>327</v>
      </c>
      <c r="J10" s="88" t="n">
        <f aca="false">C10*0</f>
        <v>0</v>
      </c>
      <c r="K10" s="81" t="s">
        <v>340</v>
      </c>
    </row>
    <row r="11" customFormat="false" ht="15" hidden="false" customHeight="true" outlineLevel="0" collapsed="false">
      <c r="B11" s="100" t="s">
        <v>341</v>
      </c>
      <c r="J11" s="101" t="n">
        <f aca="false">SUM(J5:J10)</f>
        <v>82650</v>
      </c>
    </row>
    <row r="12" customFormat="false" ht="15" hidden="false" customHeight="true" outlineLevel="0" collapsed="false">
      <c r="B12" s="87" t="s">
        <v>342</v>
      </c>
      <c r="J12" s="88" t="n">
        <f aca="false">ROUND(J5*0.45+ (J6+J7+J9)*0.25 + J8*0.05,0)</f>
        <v>22823</v>
      </c>
    </row>
    <row r="13" customFormat="false" ht="15" hidden="false" customHeight="true" outlineLevel="0" collapsed="false">
      <c r="B13" s="100" t="s">
        <v>343</v>
      </c>
      <c r="J13" s="101" t="n">
        <f aca="false">J11+J12</f>
        <v>105473</v>
      </c>
    </row>
    <row r="14" customFormat="false" ht="30" hidden="false" customHeight="true" outlineLevel="0" collapsed="false">
      <c r="B14" s="87" t="s">
        <v>344</v>
      </c>
      <c r="J14" s="103" t="n">
        <f aca="false">J13/'Saisie RCA'!D13</f>
        <v>0.278053705783416</v>
      </c>
      <c r="K14" s="81" t="s">
        <v>345</v>
      </c>
    </row>
    <row r="16" customFormat="false" ht="27.75" hidden="false" customHeight="true" outlineLevel="0" collapsed="false">
      <c r="B16" s="76" t="s">
        <v>346</v>
      </c>
      <c r="C16" s="76"/>
      <c r="D16" s="76"/>
      <c r="E16" s="76"/>
      <c r="F16" s="76"/>
      <c r="G16" s="76"/>
      <c r="H16" s="76"/>
      <c r="I16" s="76"/>
      <c r="J16" s="76"/>
      <c r="K16" s="76"/>
    </row>
  </sheetData>
  <mergeCells count="2">
    <mergeCell ref="B2:J2"/>
    <mergeCell ref="B16:K1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D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44"/>
    <col collapsed="false" customWidth="true" hidden="false" outlineLevel="0" max="3" min="3" style="1" width="20"/>
    <col collapsed="false" customWidth="true" hidden="false" outlineLevel="0" max="4" min="4" style="1" width="64"/>
  </cols>
  <sheetData>
    <row r="2" customFormat="false" ht="15" hidden="false" customHeight="true" outlineLevel="0" collapsed="false">
      <c r="B2" s="75" t="s">
        <v>347</v>
      </c>
    </row>
    <row r="4" customFormat="false" ht="15" hidden="false" customHeight="true" outlineLevel="0" collapsed="false">
      <c r="B4" s="102" t="s">
        <v>348</v>
      </c>
      <c r="C4" s="102"/>
      <c r="D4" s="102"/>
    </row>
    <row r="5" customFormat="false" ht="25.5" hidden="false" customHeight="true" outlineLevel="0" collapsed="false">
      <c r="B5" s="78" t="s">
        <v>349</v>
      </c>
      <c r="C5" s="79" t="s">
        <v>350</v>
      </c>
      <c r="D5" s="81" t="s">
        <v>351</v>
      </c>
    </row>
    <row r="6" customFormat="false" ht="25.5" hidden="false" customHeight="true" outlineLevel="0" collapsed="false">
      <c r="B6" s="78" t="s">
        <v>352</v>
      </c>
      <c r="C6" s="79" t="s">
        <v>353</v>
      </c>
      <c r="D6" s="81" t="s">
        <v>354</v>
      </c>
    </row>
    <row r="7" customFormat="false" ht="25.5" hidden="false" customHeight="true" outlineLevel="0" collapsed="false">
      <c r="B7" s="78" t="s">
        <v>355</v>
      </c>
      <c r="C7" s="79" t="s">
        <v>356</v>
      </c>
      <c r="D7" s="81" t="s">
        <v>357</v>
      </c>
    </row>
    <row r="8" customFormat="false" ht="25.5" hidden="false" customHeight="true" outlineLevel="0" collapsed="false">
      <c r="B8" s="78" t="s">
        <v>358</v>
      </c>
      <c r="C8" s="79" t="s">
        <v>359</v>
      </c>
      <c r="D8" s="81" t="s">
        <v>360</v>
      </c>
    </row>
    <row r="9" customFormat="false" ht="25.5" hidden="false" customHeight="true" outlineLevel="0" collapsed="false">
      <c r="B9" s="78" t="s">
        <v>361</v>
      </c>
      <c r="C9" s="79" t="s">
        <v>362</v>
      </c>
      <c r="D9" s="81" t="s">
        <v>363</v>
      </c>
    </row>
    <row r="10" customFormat="false" ht="25.5" hidden="false" customHeight="true" outlineLevel="0" collapsed="false">
      <c r="B10" s="78" t="s">
        <v>364</v>
      </c>
      <c r="C10" s="79" t="s">
        <v>365</v>
      </c>
      <c r="D10" s="81" t="s">
        <v>366</v>
      </c>
    </row>
    <row r="11" customFormat="false" ht="25.5" hidden="false" customHeight="true" outlineLevel="0" collapsed="false">
      <c r="B11" s="78" t="s">
        <v>367</v>
      </c>
      <c r="C11" s="79" t="s">
        <v>368</v>
      </c>
      <c r="D11" s="81" t="s">
        <v>369</v>
      </c>
    </row>
    <row r="12" customFormat="false" ht="15" hidden="false" customHeight="true" outlineLevel="0" collapsed="false">
      <c r="B12" s="102" t="s">
        <v>370</v>
      </c>
      <c r="C12" s="102"/>
      <c r="D12" s="102"/>
    </row>
    <row r="13" customFormat="false" ht="25.5" hidden="false" customHeight="true" outlineLevel="0" collapsed="false">
      <c r="B13" s="78" t="s">
        <v>371</v>
      </c>
      <c r="C13" s="79" t="s">
        <v>372</v>
      </c>
      <c r="D13" s="81" t="s">
        <v>373</v>
      </c>
    </row>
    <row r="14" customFormat="false" ht="25.5" hidden="false" customHeight="true" outlineLevel="0" collapsed="false">
      <c r="B14" s="78" t="s">
        <v>374</v>
      </c>
      <c r="C14" s="79" t="s">
        <v>375</v>
      </c>
      <c r="D14" s="81" t="s">
        <v>376</v>
      </c>
    </row>
    <row r="15" customFormat="false" ht="15" hidden="false" customHeight="true" outlineLevel="0" collapsed="false">
      <c r="B15" s="102" t="s">
        <v>91</v>
      </c>
      <c r="C15" s="102"/>
      <c r="D15" s="102"/>
    </row>
    <row r="16" customFormat="false" ht="25.5" hidden="false" customHeight="true" outlineLevel="0" collapsed="false">
      <c r="B16" s="78" t="s">
        <v>377</v>
      </c>
      <c r="C16" s="79" t="s">
        <v>378</v>
      </c>
      <c r="D16" s="81" t="s">
        <v>379</v>
      </c>
    </row>
    <row r="17" customFormat="false" ht="25.5" hidden="false" customHeight="true" outlineLevel="0" collapsed="false">
      <c r="B17" s="78" t="s">
        <v>380</v>
      </c>
      <c r="C17" s="79" t="s">
        <v>381</v>
      </c>
      <c r="D17" s="81" t="s">
        <v>382</v>
      </c>
    </row>
    <row r="18" customFormat="false" ht="25.5" hidden="false" customHeight="true" outlineLevel="0" collapsed="false">
      <c r="B18" s="78" t="s">
        <v>383</v>
      </c>
      <c r="C18" s="79" t="s">
        <v>384</v>
      </c>
      <c r="D18" s="81" t="s">
        <v>385</v>
      </c>
    </row>
    <row r="19" customFormat="false" ht="25.5" hidden="false" customHeight="true" outlineLevel="0" collapsed="false">
      <c r="B19" s="78" t="s">
        <v>386</v>
      </c>
      <c r="C19" s="79" t="s">
        <v>387</v>
      </c>
      <c r="D19" s="81" t="s">
        <v>388</v>
      </c>
    </row>
    <row r="20" customFormat="false" ht="15" hidden="false" customHeight="true" outlineLevel="0" collapsed="false">
      <c r="B20" s="102" t="s">
        <v>389</v>
      </c>
      <c r="C20" s="102"/>
      <c r="D20" s="102"/>
    </row>
    <row r="21" customFormat="false" ht="25.5" hidden="false" customHeight="true" outlineLevel="0" collapsed="false">
      <c r="B21" s="78" t="s">
        <v>390</v>
      </c>
      <c r="C21" s="79" t="s">
        <v>391</v>
      </c>
      <c r="D21" s="81" t="s">
        <v>392</v>
      </c>
    </row>
    <row r="22" customFormat="false" ht="25.5" hidden="false" customHeight="true" outlineLevel="0" collapsed="false">
      <c r="B22" s="78" t="s">
        <v>393</v>
      </c>
      <c r="C22" s="79" t="s">
        <v>394</v>
      </c>
      <c r="D22" s="81" t="s">
        <v>395</v>
      </c>
    </row>
    <row r="23" customFormat="false" ht="25.5" hidden="false" customHeight="true" outlineLevel="0" collapsed="false">
      <c r="B23" s="78" t="s">
        <v>396</v>
      </c>
      <c r="C23" s="79" t="s">
        <v>397</v>
      </c>
      <c r="D23" s="81" t="s">
        <v>398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F2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40"/>
    <col collapsed="false" customWidth="true" hidden="false" outlineLevel="0" max="5" min="3" style="1" width="13"/>
    <col collapsed="false" customWidth="true" hidden="false" outlineLevel="0" max="6" min="6" style="1" width="62"/>
  </cols>
  <sheetData>
    <row r="2" customFormat="false" ht="15" hidden="false" customHeight="true" outlineLevel="0" collapsed="false">
      <c r="B2" s="75" t="s">
        <v>399</v>
      </c>
    </row>
    <row r="3" customFormat="false" ht="25.5" hidden="false" customHeight="true" outlineLevel="0" collapsed="false">
      <c r="B3" s="76" t="s">
        <v>400</v>
      </c>
      <c r="C3" s="76"/>
      <c r="D3" s="76"/>
      <c r="E3" s="76"/>
      <c r="F3" s="76"/>
    </row>
    <row r="5" customFormat="false" ht="23.25" hidden="false" customHeight="true" outlineLevel="0" collapsed="false">
      <c r="B5" s="98"/>
      <c r="C5" s="98" t="s">
        <v>401</v>
      </c>
      <c r="D5" s="98" t="s">
        <v>204</v>
      </c>
      <c r="E5" s="98" t="s">
        <v>205</v>
      </c>
      <c r="F5" s="98" t="s">
        <v>402</v>
      </c>
    </row>
    <row r="6" customFormat="false" ht="24" hidden="false" customHeight="true" outlineLevel="0" collapsed="false">
      <c r="B6" s="100" t="s">
        <v>403</v>
      </c>
      <c r="C6" s="109" t="n">
        <f aca="false">'Saisie RCA'!D13</f>
        <v>379326</v>
      </c>
      <c r="D6" s="109" t="n">
        <f aca="false">'Saisie RCA'!E13</f>
        <v>441798</v>
      </c>
      <c r="E6" s="109" t="n">
        <f aca="false">'Saisie RCA'!F13</f>
        <v>490849</v>
      </c>
      <c r="F6" s="81" t="s">
        <v>404</v>
      </c>
    </row>
    <row r="7" customFormat="false" ht="24" hidden="false" customHeight="true" outlineLevel="0" collapsed="false">
      <c r="B7" s="87" t="s">
        <v>405</v>
      </c>
      <c r="C7" s="88" t="n">
        <f aca="false">'Saisie RCA'!D11*'Saisie RCA'!I11+'Saisie RCA'!D12*'Saisie RCA'!I12</f>
        <v>269753.64</v>
      </c>
      <c r="D7" s="88" t="n">
        <f aca="false">'Saisie RCA'!E11*'Saisie RCA'!I11+'Saisie RCA'!E12*'Saisie RCA'!I12</f>
        <v>314179.88</v>
      </c>
      <c r="E7" s="88" t="n">
        <f aca="false">'Saisie RCA'!F11*'Saisie RCA'!I11+'Saisie RCA'!F12*'Saisie RCA'!I12</f>
        <v>349061.98</v>
      </c>
      <c r="F7" s="81" t="s">
        <v>406</v>
      </c>
    </row>
    <row r="8" customFormat="false" ht="24" hidden="false" customHeight="true" outlineLevel="0" collapsed="false">
      <c r="B8" s="87" t="s">
        <v>407</v>
      </c>
      <c r="C8" s="103" t="n">
        <f aca="false">C7/C6</f>
        <v>0.711139336612834</v>
      </c>
      <c r="D8" s="103" t="n">
        <f aca="false">D7/D6</f>
        <v>0.711139208416516</v>
      </c>
      <c r="E8" s="103" t="n">
        <f aca="false">E7/E6</f>
        <v>0.711139230190955</v>
      </c>
      <c r="F8" s="81" t="s">
        <v>408</v>
      </c>
    </row>
    <row r="9" customFormat="false" ht="24" hidden="false" customHeight="true" outlineLevel="0" collapsed="false">
      <c r="B9" s="87" t="s">
        <v>409</v>
      </c>
      <c r="C9" s="88" t="n">
        <f aca="false">-'RCA Charges'!C37</f>
        <v>-93300</v>
      </c>
      <c r="D9" s="88" t="n">
        <f aca="false">-'RCA Charges'!D37</f>
        <v>-94420</v>
      </c>
      <c r="E9" s="88" t="n">
        <f aca="false">-'RCA Charges'!E37</f>
        <v>-98300</v>
      </c>
      <c r="F9" s="81" t="s">
        <v>410</v>
      </c>
    </row>
    <row r="10" customFormat="false" ht="24" hidden="false" customHeight="true" outlineLevel="0" collapsed="false">
      <c r="B10" s="87" t="s">
        <v>411</v>
      </c>
      <c r="C10" s="88" t="n">
        <f aca="false">-'RCA Personnel'!J13</f>
        <v>-105473</v>
      </c>
      <c r="D10" s="88" t="n">
        <f aca="false">-(('RCA Personnel'!D5*12)*1.45+('RCA Personnel'!D6*12+'RCA Personnel'!D7*12+'RCA Personnel'!D10*12)*1.25+('RCA Personnel'!D8*12)*1.05+('RCA Personnel'!D9*11)*1.25)</f>
        <v>-158835</v>
      </c>
      <c r="E10" s="88" t="n">
        <f aca="false">-(('RCA Personnel'!E5*12)*1.45+('RCA Personnel'!E6*12+'RCA Personnel'!E7*12+'RCA Personnel'!E10*12)*1.25+('RCA Personnel'!E8*12)*1.05+('RCA Personnel'!E9*11)*1.25)</f>
        <v>-171790</v>
      </c>
      <c r="F10" s="81" t="s">
        <v>412</v>
      </c>
    </row>
    <row r="11" customFormat="false" ht="24" hidden="false" customHeight="true" outlineLevel="0" collapsed="false">
      <c r="B11" s="100" t="s">
        <v>413</v>
      </c>
      <c r="C11" s="101" t="n">
        <f aca="false">C7+C9+C10</f>
        <v>70980.64</v>
      </c>
      <c r="D11" s="101" t="n">
        <f aca="false">D7+D9+D10</f>
        <v>60924.88</v>
      </c>
      <c r="E11" s="101" t="n">
        <f aca="false">E7+E9+E10</f>
        <v>78971.98</v>
      </c>
      <c r="F11" s="81"/>
    </row>
    <row r="12" customFormat="false" ht="24" hidden="false" customHeight="true" outlineLevel="0" collapsed="false">
      <c r="B12" s="87" t="s">
        <v>414</v>
      </c>
      <c r="C12" s="103" t="n">
        <f aca="false">C11/C6</f>
        <v>0.187123055102998</v>
      </c>
      <c r="D12" s="103" t="n">
        <f aca="false">D11/D6</f>
        <v>0.137902118162599</v>
      </c>
      <c r="E12" s="103" t="n">
        <f aca="false">E11/E6</f>
        <v>0.160888542097468</v>
      </c>
      <c r="F12" s="81" t="s">
        <v>415</v>
      </c>
    </row>
    <row r="13" customFormat="false" ht="24" hidden="false" customHeight="true" outlineLevel="0" collapsed="false">
      <c r="B13" s="87" t="s">
        <v>416</v>
      </c>
      <c r="C13" s="99" t="n">
        <v>-37000</v>
      </c>
      <c r="D13" s="99" t="n">
        <v>-13700</v>
      </c>
      <c r="E13" s="99" t="n">
        <v>-14900</v>
      </c>
      <c r="F13" s="81" t="s">
        <v>417</v>
      </c>
    </row>
    <row r="14" customFormat="false" ht="24" hidden="false" customHeight="true" outlineLevel="0" collapsed="false">
      <c r="B14" s="87" t="s">
        <v>418</v>
      </c>
      <c r="C14" s="99" t="n">
        <v>-10150</v>
      </c>
      <c r="D14" s="99" t="n">
        <v>-9007</v>
      </c>
      <c r="E14" s="99" t="n">
        <v>-7764</v>
      </c>
      <c r="F14" s="81" t="s">
        <v>419</v>
      </c>
    </row>
    <row r="15" customFormat="false" ht="24" hidden="false" customHeight="true" outlineLevel="0" collapsed="false">
      <c r="B15" s="100" t="s">
        <v>420</v>
      </c>
      <c r="C15" s="101" t="n">
        <f aca="false">C11+C13+C14</f>
        <v>23830.64</v>
      </c>
      <c r="D15" s="101" t="n">
        <f aca="false">D11+D13+D14</f>
        <v>38217.88</v>
      </c>
      <c r="E15" s="101" t="n">
        <f aca="false">E11+E13+E14</f>
        <v>56307.98</v>
      </c>
      <c r="F15" s="81"/>
    </row>
    <row r="16" customFormat="false" ht="24" hidden="false" customHeight="true" outlineLevel="0" collapsed="false">
      <c r="B16" s="87" t="s">
        <v>421</v>
      </c>
      <c r="C16" s="110" t="n">
        <f aca="false">-ROUND(MIN(MAX(C15,0),42500)*0.15+MAX(MAX(C15,0)-42500,0)*0.25,0)</f>
        <v>-3575</v>
      </c>
      <c r="D16" s="110" t="n">
        <f aca="false">-ROUND(MIN(MAX(D15,0),42500)*0.15+MAX(MAX(D15,0)-42500,0)*0.25,0)</f>
        <v>-5733</v>
      </c>
      <c r="E16" s="110" t="n">
        <f aca="false">-ROUND(MIN(MAX(E15,0),42500)*0.15+MAX(MAX(E15,0)-42500,0)*0.25,0)</f>
        <v>-9827</v>
      </c>
      <c r="F16" s="81" t="s">
        <v>422</v>
      </c>
    </row>
    <row r="17" customFormat="false" ht="24" hidden="false" customHeight="true" outlineLevel="0" collapsed="false">
      <c r="B17" s="100" t="s">
        <v>423</v>
      </c>
      <c r="C17" s="101" t="n">
        <f aca="false">C15+C16</f>
        <v>20255.64</v>
      </c>
      <c r="D17" s="101" t="n">
        <f aca="false">D15+D16</f>
        <v>32484.8799999999</v>
      </c>
      <c r="E17" s="101" t="n">
        <f aca="false">E15+E16</f>
        <v>46480.98</v>
      </c>
      <c r="F17" s="81"/>
    </row>
    <row r="18" customFormat="false" ht="24" hidden="false" customHeight="true" outlineLevel="0" collapsed="false">
      <c r="B18" s="87" t="s">
        <v>424</v>
      </c>
      <c r="C18" s="110" t="n">
        <f aca="false">C17-C13</f>
        <v>57255.64</v>
      </c>
      <c r="D18" s="110" t="n">
        <f aca="false">D17-D13</f>
        <v>46184.88</v>
      </c>
      <c r="E18" s="110" t="n">
        <f aca="false">E17-E13</f>
        <v>61380.98</v>
      </c>
      <c r="F18" s="81"/>
    </row>
    <row r="20" customFormat="false" ht="15" hidden="false" customHeight="true" outlineLevel="0" collapsed="false">
      <c r="B20" s="102" t="s">
        <v>425</v>
      </c>
      <c r="C20" s="102"/>
      <c r="D20" s="102"/>
      <c r="E20" s="102"/>
      <c r="F20" s="102"/>
    </row>
    <row r="21" customFormat="false" ht="25.5" hidden="false" customHeight="true" outlineLevel="0" collapsed="false">
      <c r="B21" s="78" t="s">
        <v>426</v>
      </c>
      <c r="C21" s="99" t="n">
        <v>-21516</v>
      </c>
      <c r="D21" s="99" t="n">
        <v>-30474</v>
      </c>
      <c r="E21" s="99" t="n">
        <v>-31717</v>
      </c>
      <c r="F21" s="81" t="s">
        <v>427</v>
      </c>
    </row>
    <row r="22" customFormat="false" ht="25.5" hidden="false" customHeight="true" outlineLevel="0" collapsed="false">
      <c r="B22" s="78" t="s">
        <v>428</v>
      </c>
      <c r="C22" s="110" t="n">
        <f aca="false">C18+C21</f>
        <v>35739.64</v>
      </c>
      <c r="D22" s="110" t="n">
        <f aca="false">D18+D21</f>
        <v>15710.8799999999</v>
      </c>
      <c r="E22" s="110" t="n">
        <f aca="false">E18+E21</f>
        <v>29663.98</v>
      </c>
      <c r="F22" s="81" t="s">
        <v>429</v>
      </c>
    </row>
    <row r="23" customFormat="false" ht="25.5" hidden="false" customHeight="true" outlineLevel="0" collapsed="false">
      <c r="B23" s="78" t="s">
        <v>430</v>
      </c>
      <c r="C23" s="111" t="n">
        <f aca="false">(-C21-C14)/C11</f>
        <v>0.446121646691267</v>
      </c>
      <c r="D23" s="111" t="n">
        <f aca="false">(-D21-D14)/D11</f>
        <v>0.648027538174881</v>
      </c>
      <c r="E23" s="111" t="n">
        <f aca="false">(-E21-E14)/E11</f>
        <v>0.49993681303166</v>
      </c>
      <c r="F23" s="81" t="s">
        <v>431</v>
      </c>
    </row>
    <row r="24" customFormat="false" ht="25.5" hidden="false" customHeight="true" outlineLevel="0" collapsed="false">
      <c r="B24" s="78" t="s">
        <v>432</v>
      </c>
      <c r="C24" s="88" t="n">
        <f aca="false">ROUND('RCA Personnel'!C5*12*0.78,0)</f>
        <v>14040</v>
      </c>
      <c r="D24" s="88" t="n">
        <f aca="false">ROUND('RCA Personnel'!D5*12*0.78,0)</f>
        <v>23400</v>
      </c>
      <c r="E24" s="88" t="n">
        <f aca="false">ROUND('RCA Personnel'!E5*12*0.78,0)</f>
        <v>28080</v>
      </c>
      <c r="F24" s="81" t="s">
        <v>433</v>
      </c>
    </row>
    <row r="26" customFormat="false" ht="15" hidden="false" customHeight="true" outlineLevel="0" collapsed="false">
      <c r="B26" s="112" t="s">
        <v>434</v>
      </c>
      <c r="C26" s="112"/>
      <c r="D26" s="112"/>
      <c r="E26" s="112"/>
      <c r="F26" s="112"/>
    </row>
    <row r="27" customFormat="false" ht="63.75" hidden="false" customHeight="true" outlineLevel="0" collapsed="false">
      <c r="B27" s="113" t="s">
        <v>435</v>
      </c>
      <c r="C27" s="113"/>
      <c r="D27" s="113"/>
      <c r="E27" s="113"/>
      <c r="F27" s="113"/>
    </row>
  </sheetData>
  <mergeCells count="2">
    <mergeCell ref="B3:F3"/>
    <mergeCell ref="B27:F2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LibreOffice/26.2.3.2$MacOSX_AARCH64 LibreOffice_project/70e089b17412e4cb7773e41413306b17a2328c34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2022-04-16T15:41:10Z</dcterms:created>
  <dc:creator>LE DUIGOU Thomas</dc:creator>
  <dc:description/>
  <dc:language>fr-FR</dc:language>
  <cp:lastModifiedBy>MORNET Marion</cp:lastModifiedBy>
  <dcterms:modified xsi:type="dcterms:W3CDTF">2026-06-10T09:46:24Z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plianceAssetId">
    <vt:lpwstr/>
  </property>
  <property fmtid="{D5CDD505-2E9C-101B-9397-08002B2CF9AE}" pid="3" name="ContentTypeId">
    <vt:lpwstr>0x010100EB8E09B568D33C4B87D958EFA8D09039</vt:lpwstr>
  </property>
  <property fmtid="{D5CDD505-2E9C-101B-9397-08002B2CF9AE}" pid="4" name="MediaServiceImageTags">
    <vt:lpwstr/>
  </property>
  <property fmtid="{D5CDD505-2E9C-101B-9397-08002B2CF9AE}" pid="5" name="Order">
    <vt:r8>54000</vt:r8>
  </property>
  <property fmtid="{D5CDD505-2E9C-101B-9397-08002B2CF9AE}" pid="6" name="TemplateUrl">
    <vt:lpwstr/>
  </property>
  <property fmtid="{D5CDD505-2E9C-101B-9397-08002B2CF9AE}" pid="7" name="TriggerFlowInfo">
    <vt:lpwstr/>
  </property>
  <property fmtid="{D5CDD505-2E9C-101B-9397-08002B2CF9AE}" pid="8" name="_ExtendedDescription">
    <vt:lpwstr/>
  </property>
  <property fmtid="{D5CDD505-2E9C-101B-9397-08002B2CF9AE}" pid="9" name="xd_ProgID">
    <vt:lpwstr/>
  </property>
  <property fmtid="{D5CDD505-2E9C-101B-9397-08002B2CF9AE}" pid="10" name="xd_Signature">
    <vt:bool>0</vt:bool>
  </property>
</Properties>
</file>